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0" windowWidth="15480" windowHeight="7890" tabRatio="1000" firstSheet="20" activeTab="23"/>
  </bookViews>
  <sheets>
    <sheet name="Hárok1 " sheetId="1" r:id="rId1"/>
    <sheet name="T1 počet študentov" sheetId="2" r:id="rId2"/>
    <sheet name="T1a vývoj počtu študentov" sheetId="3" r:id="rId3"/>
    <sheet name="T2 počet absolventov" sheetId="4" r:id="rId4"/>
    <sheet name="T3a - I.stupeň prijatia" sheetId="5" r:id="rId5"/>
    <sheet name="T3B - II. stupeň prijatia" sheetId="6" r:id="rId6"/>
    <sheet name="T3C - III stupeň prijatia" sheetId="7" r:id="rId7"/>
    <sheet name="T4 štruktúra platiacich" sheetId="8" r:id="rId8"/>
    <sheet name="T5 - úspešnosť štúdia" sheetId="9" r:id="rId9"/>
    <sheet name="T6 - mobility študenti" sheetId="10" r:id="rId10"/>
    <sheet name="T7 - Profesori" sheetId="11" r:id="rId11"/>
    <sheet name="T8 - docenti" sheetId="12" r:id="rId12"/>
    <sheet name="T9 - Výberové konania" sheetId="13" r:id="rId13"/>
    <sheet name="T10 - kvalif.štruktúra učiteľov" sheetId="14" r:id="rId14"/>
    <sheet name="T11 - mobility zam." sheetId="15" r:id="rId15"/>
    <sheet name="T12záverečné práce" sheetId="16" r:id="rId16"/>
    <sheet name="T13 - publ. činnosť" sheetId="17" r:id="rId17"/>
    <sheet name="T14 - umel. činnosť" sheetId="18" r:id="rId18"/>
    <sheet name="T15 štud.program - ŠP" sheetId="19" r:id="rId19"/>
    <sheet name="T16 pozastavene, odňaté ŠP" sheetId="20" r:id="rId20"/>
    <sheet name="T17 - HI konania" sheetId="21" r:id="rId21"/>
    <sheet name="T18- HI-pozastavené, odňatie" sheetId="22" r:id="rId22"/>
    <sheet name="T19 - Výskumné projekty" sheetId="23" r:id="rId23"/>
    <sheet name="T20 Ostatné (nevýsk.) projekty" sheetId="24" r:id="rId24"/>
    <sheet name="T21 umelecká činnosť" sheetId="25" r:id="rId25"/>
  </sheets>
  <definedNames>
    <definedName name="_xlfn.IFERROR" hidden="1">#NAME?</definedName>
    <definedName name="_xlnm.Print_Area" localSheetId="0">'Hárok1 '!$A$1:$I$4</definedName>
    <definedName name="_xlnm.Print_Area" localSheetId="15">'T12záverečné práce'!$A$1:$F$8</definedName>
    <definedName name="_xlnm.Print_Area" localSheetId="4">'T3a - I.stupeň prijatia'!$A$1:$J$94</definedName>
    <definedName name="_xlnm.Print_Area" localSheetId="6">'T3C - III stupeň prijatia'!$A$1:$J$125</definedName>
  </definedNames>
  <calcPr fullCalcOnLoad="1"/>
</workbook>
</file>

<file path=xl/sharedStrings.xml><?xml version="1.0" encoding="utf-8"?>
<sst xmlns="http://schemas.openxmlformats.org/spreadsheetml/2006/main" count="2626" uniqueCount="843">
  <si>
    <t>občania SR</t>
  </si>
  <si>
    <t>cudzinci</t>
  </si>
  <si>
    <t>stupeň</t>
  </si>
  <si>
    <t>1+2</t>
  </si>
  <si>
    <t>Tabuľka č. 1a: Vývoj počtu študentov (stav k 31.10. daného roka)</t>
  </si>
  <si>
    <t>učiteľstvo, vychovávateľstvo a pedagogické vedy</t>
  </si>
  <si>
    <t>humanitné vedy</t>
  </si>
  <si>
    <t>umenie</t>
  </si>
  <si>
    <t>spoločenské a behaviorálne vedy</t>
  </si>
  <si>
    <t>žurnalistika a informácie</t>
  </si>
  <si>
    <t>ekonómia a manažment</t>
  </si>
  <si>
    <t>právo</t>
  </si>
  <si>
    <t>vedy o neživej prírode</t>
  </si>
  <si>
    <t>vedy o živej prírode</t>
  </si>
  <si>
    <t>ekologické a environmentálne vedy</t>
  </si>
  <si>
    <t>architektúra a staviteľstvo</t>
  </si>
  <si>
    <t>konštrukčné inžinierstvo, technológie, výroba a komunikácie</t>
  </si>
  <si>
    <t>poľnohospodárstvo</t>
  </si>
  <si>
    <t>lesníctvo</t>
  </si>
  <si>
    <t>veterinárske vedy</t>
  </si>
  <si>
    <t>vodné hospodárstvo</t>
  </si>
  <si>
    <t>lekárske vedy</t>
  </si>
  <si>
    <t>zubné lekárstvo</t>
  </si>
  <si>
    <t>farmaceutické vedy</t>
  </si>
  <si>
    <t>nelekárske zdravotnícke vedy</t>
  </si>
  <si>
    <t>osobné služby</t>
  </si>
  <si>
    <t>dopravné a poštové služby</t>
  </si>
  <si>
    <t>bezpečnostné služby</t>
  </si>
  <si>
    <t>obrana a vojenstvo</t>
  </si>
  <si>
    <t>logistika</t>
  </si>
  <si>
    <t>matematika a štatistika</t>
  </si>
  <si>
    <t>informatické vedy, informačné a komunikačné technológie</t>
  </si>
  <si>
    <t>Stupeň</t>
  </si>
  <si>
    <t>1. stupeň</t>
  </si>
  <si>
    <t>2. stupeň</t>
  </si>
  <si>
    <t>3. stupeň</t>
  </si>
  <si>
    <t>Fakulta</t>
  </si>
  <si>
    <t>Stupeň                        štúdia</t>
  </si>
  <si>
    <t>Denná forma</t>
  </si>
  <si>
    <t>Externá forma</t>
  </si>
  <si>
    <t>Spolu</t>
  </si>
  <si>
    <t>1+2 - študijné programy podľa § 53 ods. 3 zákona</t>
  </si>
  <si>
    <t>Rok</t>
  </si>
  <si>
    <t>Stupeň                štúdia</t>
  </si>
  <si>
    <t>Plánovaný počet</t>
  </si>
  <si>
    <t>Počet prihlášok</t>
  </si>
  <si>
    <t>Účasť</t>
  </si>
  <si>
    <t>Prijatie</t>
  </si>
  <si>
    <t>Zápis</t>
  </si>
  <si>
    <t>Prihlášky/ plán</t>
  </si>
  <si>
    <t>Prijatie/                účasť</t>
  </si>
  <si>
    <t>Zápis/            prijatie</t>
  </si>
  <si>
    <t xml:space="preserve">Zápis/                  plán           </t>
  </si>
  <si>
    <t>Podskupina študijných odborov</t>
  </si>
  <si>
    <t>Forma štúdia</t>
  </si>
  <si>
    <t>Počet študentov</t>
  </si>
  <si>
    <t>Počty študentov</t>
  </si>
  <si>
    <t>Počet žiadostí o zníženie školného</t>
  </si>
  <si>
    <t>Počet žiadostí o odpustenie školného</t>
  </si>
  <si>
    <t>Študijný odbor</t>
  </si>
  <si>
    <t>Záverečná práca</t>
  </si>
  <si>
    <t>Počet predložených záverečných prác</t>
  </si>
  <si>
    <t xml:space="preserve">Počet obhájených </t>
  </si>
  <si>
    <t>Jazyky</t>
  </si>
  <si>
    <t>Skratka titulu</t>
  </si>
  <si>
    <t>Spojený 1. a 2. stupeň</t>
  </si>
  <si>
    <t>Pozastavené práva</t>
  </si>
  <si>
    <t>Dátum pozastavenia</t>
  </si>
  <si>
    <t>ktorým bolo školné odpustené</t>
  </si>
  <si>
    <t>ktorým bolo školné znížené</t>
  </si>
  <si>
    <t>cudzincov, ktorí uhrádzajú školné</t>
  </si>
  <si>
    <t>ktorým vznikla povinnosť uhradiť školné v externej forme</t>
  </si>
  <si>
    <t>ktorým vznikla povinnosť uhradiť školné za prekročenie štandardnej dĺžky štúdia</t>
  </si>
  <si>
    <t>Tabuľka č. 1: Počet študentov vysokej školy k 31. 10. 2011</t>
  </si>
  <si>
    <t>Tabuľka č. 3a: Prijímacie konanie na študijné programy v prvom stupni a v spojenom prvom a druhom stupni v roku 2011</t>
  </si>
  <si>
    <t>Z toho počet absolventov svojej vysokej školy</t>
  </si>
  <si>
    <t>Z toho počet uchádzačov, ktorí získali vzdelanie nižšieho stupňa v zahraničí</t>
  </si>
  <si>
    <t>Tabuľka č. 3c: Prijímacie konanie na študijné programy v treťom stupni v roku 2011</t>
  </si>
  <si>
    <t>ktorým vznikla v ak. roku 2010/2011 povinnosť uhradiť školné</t>
  </si>
  <si>
    <t>z toho počet študentov,</t>
  </si>
  <si>
    <t>Forma</t>
  </si>
  <si>
    <t>Z toho počet uchádzačov, ktorí získali stredoškolské vzdelanie v zahraničí</t>
  </si>
  <si>
    <t>Študijný program</t>
  </si>
  <si>
    <t>Stupeň dosiahnutého vzdelania</t>
  </si>
  <si>
    <t>Akademický rok začatia štúdia</t>
  </si>
  <si>
    <t>2006 / 2007</t>
  </si>
  <si>
    <t>2005 / 2006</t>
  </si>
  <si>
    <t>2007 / 2008</t>
  </si>
  <si>
    <t>2008 / 2009</t>
  </si>
  <si>
    <t>2010 / 2011</t>
  </si>
  <si>
    <t>Tabuľková príloha
k výročnej správe o činnosti vysokej školy</t>
  </si>
  <si>
    <t>% z celkového počtu prihlášok</t>
  </si>
  <si>
    <t>% z celkového počtu účasti</t>
  </si>
  <si>
    <t>% z celkového počtu prijatia</t>
  </si>
  <si>
    <t>% z celkového počtu zápisov</t>
  </si>
  <si>
    <t>Dátum odňatia práva alebo skončenia platnosti</t>
  </si>
  <si>
    <t>Odňaté práva, alebo skončenie platnosti priznaného práva</t>
  </si>
  <si>
    <t>Tabuľka č. 16: Zoznam akreditovaných študijných programov - pozastavenie práva, odňatie práva alebo skončenie platnosti priznaného práva k 31.12. 2011</t>
  </si>
  <si>
    <t>Tabuľka č. 2: Počet študentov, ktorí riadne skončili štúdium v akademickom roku 2010/2011</t>
  </si>
  <si>
    <t>spolu podľa stupňov</t>
  </si>
  <si>
    <t>Tabuľka č. 5: Podiel riadne skončených štúdií na celkovom počte začatých štúdií v danom akademickom roku k 31.12.2011</t>
  </si>
  <si>
    <t>Fyzický počet vedúcich záverečných prác</t>
  </si>
  <si>
    <t>Fyzický počet vedúcich záverečných prác bez PhD.</t>
  </si>
  <si>
    <t>Fyzický počet vedúcich záverečných prác (odborníci z praxe)</t>
  </si>
  <si>
    <t>V dennej aj v externej forme spolu</t>
  </si>
  <si>
    <t>Spolu fakulta 5</t>
  </si>
  <si>
    <t>Spolu podľa stupňov</t>
  </si>
  <si>
    <t>Spolu denná forma</t>
  </si>
  <si>
    <t>Spolu externá forma</t>
  </si>
  <si>
    <t>obe formy spolu</t>
  </si>
  <si>
    <t>Bakalárska</t>
  </si>
  <si>
    <t>Diplomová</t>
  </si>
  <si>
    <t xml:space="preserve">Dizertačná </t>
  </si>
  <si>
    <t>Rigorózna</t>
  </si>
  <si>
    <t>Tabuľka č. 12: Informácie o záverečných prácach a rigoróznych prácach predložených na obhajobu v roku 2011</t>
  </si>
  <si>
    <t>Tabuľka č. 15: Zoznam akreditovaných študijných programov ponúkaných
 k 1.9.2011</t>
  </si>
  <si>
    <t>Filozofická fakulta</t>
  </si>
  <si>
    <t>Pedagogická fakulta</t>
  </si>
  <si>
    <t>FZSP</t>
  </si>
  <si>
    <t>Teologická fakulta</t>
  </si>
  <si>
    <t>Právnická fakulta</t>
  </si>
  <si>
    <t>DŠ</t>
  </si>
  <si>
    <t>EŠ</t>
  </si>
  <si>
    <t>Filozofická</t>
  </si>
  <si>
    <t>SJ</t>
  </si>
  <si>
    <t>Bc.</t>
  </si>
  <si>
    <t>DŠ, EŠ</t>
  </si>
  <si>
    <t>História</t>
  </si>
  <si>
    <t>Mgr.</t>
  </si>
  <si>
    <t>PhD.</t>
  </si>
  <si>
    <t>2.</t>
  </si>
  <si>
    <t>3.</t>
  </si>
  <si>
    <t>Slovenské dejiny</t>
  </si>
  <si>
    <t>Právnická</t>
  </si>
  <si>
    <t>teória a dejiny štátu a rpáva</t>
  </si>
  <si>
    <t xml:space="preserve">PhD. </t>
  </si>
  <si>
    <t>trestné právo</t>
  </si>
  <si>
    <t>pracovné právo</t>
  </si>
  <si>
    <t xml:space="preserve"> teória a dejiny štátu a práva</t>
  </si>
  <si>
    <t>ošetrovateľstvo</t>
  </si>
  <si>
    <t>sociálna práca</t>
  </si>
  <si>
    <t>verejné zdravotníctvo</t>
  </si>
  <si>
    <t>SJ, AJ</t>
  </si>
  <si>
    <t>Pedagogická</t>
  </si>
  <si>
    <t>učiteľstvo slovenského jazyka a literatúry v kombinácii</t>
  </si>
  <si>
    <t>učiteľstvo nemeckého jazyka a literatúry v kombinácii</t>
  </si>
  <si>
    <t>učiteľstvo anglického jazyka a literatúry v kombinácii</t>
  </si>
  <si>
    <t>učiteľstvo matematiky v kombinácii</t>
  </si>
  <si>
    <t>učiteľstvo fyziky v kombinácii</t>
  </si>
  <si>
    <t>učiteľstvo informatiky v kombinácii</t>
  </si>
  <si>
    <t>učiteľstvo biológie v kombinácii</t>
  </si>
  <si>
    <t>učiteľstvo chémie v kombinácii</t>
  </si>
  <si>
    <t>učiteľstvo etickej výchovy v kombinácii</t>
  </si>
  <si>
    <t>učiteľstvo výtvarneho umenia v kombinácii</t>
  </si>
  <si>
    <t>animácia výtvarného umenia</t>
  </si>
  <si>
    <t>učiteľstvo praktických potravinárskych a chemických predmetov</t>
  </si>
  <si>
    <t>sociálna pedagogika a vychovávateľstvo</t>
  </si>
  <si>
    <t>predškolská a elementárna pedagogika</t>
  </si>
  <si>
    <t>predškolská inkluzívna pedagogika</t>
  </si>
  <si>
    <t>pedagogika výtvarného umenia</t>
  </si>
  <si>
    <t>učiteľstvo pre primárne vzdelávanie</t>
  </si>
  <si>
    <t>učiteľstvo informatiky</t>
  </si>
  <si>
    <t>predškolská pedagogika</t>
  </si>
  <si>
    <t>pedagogika</t>
  </si>
  <si>
    <t>teória chemického vzdelávania</t>
  </si>
  <si>
    <t xml:space="preserve"> pedagogika</t>
  </si>
  <si>
    <t xml:space="preserve"> predškolská a elementárna pedagogika</t>
  </si>
  <si>
    <t xml:space="preserve"> odborová didaktika</t>
  </si>
  <si>
    <t>učiteľstvo akademických predmetov</t>
  </si>
  <si>
    <t xml:space="preserve"> učiteľstvo umelecko- výchovných a výchovných predmetov</t>
  </si>
  <si>
    <t>učiteľstvo umelecko-výchovných a výchovných predmetov</t>
  </si>
  <si>
    <t>učiteľstvo umelecko- výchovných a výchovných predmetov</t>
  </si>
  <si>
    <t xml:space="preserve"> učiteľstvo profesijných predmetov a praktickej prípravy</t>
  </si>
  <si>
    <t>2009 / 2010</t>
  </si>
  <si>
    <t xml:space="preserve">Teologická </t>
  </si>
  <si>
    <t>DŚ,EŠ</t>
  </si>
  <si>
    <t>Teologická</t>
  </si>
  <si>
    <t>ThDr.</t>
  </si>
  <si>
    <t>učiteľstvo náboženskej výchovy</t>
  </si>
  <si>
    <t>1.stupeň</t>
  </si>
  <si>
    <t>1.+ 2. stupeň</t>
  </si>
  <si>
    <t>denné</t>
  </si>
  <si>
    <t>externé</t>
  </si>
  <si>
    <t>klasická archeológia</t>
  </si>
  <si>
    <t>spolu Pedagogická fakulta</t>
  </si>
  <si>
    <t>spolu Filozofická fakulta</t>
  </si>
  <si>
    <t>spolu Fakulta zdrav. a soc. práce</t>
  </si>
  <si>
    <t xml:space="preserve">spolu Teologická fakulta </t>
  </si>
  <si>
    <t xml:space="preserve">spolu Právnická fakulta </t>
  </si>
  <si>
    <t xml:space="preserve">spolu Trnavská univerzita </t>
  </si>
  <si>
    <t>-</t>
  </si>
  <si>
    <t>Sociológia</t>
  </si>
  <si>
    <t>3.1.6. Sociológia</t>
  </si>
  <si>
    <t>2.1.9. Slovenské dejiny</t>
  </si>
  <si>
    <t>2.1.7. História</t>
  </si>
  <si>
    <t>Tabuľka č. 4: Počet študentov uhrádzajúcich školné (ak. rok 2010/2011)</t>
  </si>
  <si>
    <r>
      <rPr>
        <sz val="10"/>
        <rFont val="Times New Roman"/>
        <family val="1"/>
      </rPr>
      <t>odňaté rozh. zo dňa</t>
    </r>
    <r>
      <rPr>
        <sz val="12"/>
        <rFont val="Times New Roman"/>
        <family val="1"/>
      </rPr>
      <t xml:space="preserve"> 6. 12. 2010</t>
    </r>
  </si>
  <si>
    <t>Tabuľka č. 3b: Prijímacie konanie na študijné programy v druhom stupni v roku 2011</t>
  </si>
  <si>
    <t>Zdravotníctva a sociálnej práce</t>
  </si>
  <si>
    <t>dejiny a teória umenia</t>
  </si>
  <si>
    <t>etika</t>
  </si>
  <si>
    <t>etika a morálna filozofia</t>
  </si>
  <si>
    <t>filozofia</t>
  </si>
  <si>
    <t>filozofia a katolícka teológia</t>
  </si>
  <si>
    <t>história</t>
  </si>
  <si>
    <t>klasické jazyky</t>
  </si>
  <si>
    <t>klasické jazyky -latinská medievalistika a novolatinistika</t>
  </si>
  <si>
    <t>politológia</t>
  </si>
  <si>
    <t>psychológia</t>
  </si>
  <si>
    <t>katolícka teológia</t>
  </si>
  <si>
    <t>základy kresťanskej filozofie a katolíckej teológie</t>
  </si>
  <si>
    <t>náuka o rodine</t>
  </si>
  <si>
    <t>kresťanská filozofia</t>
  </si>
  <si>
    <t>formácia a vedenie spoločenstiev</t>
  </si>
  <si>
    <t>sociálna práca a katolícka teológia</t>
  </si>
  <si>
    <t>laboratórne vyšetrovacie metódy v zdravotníctve</t>
  </si>
  <si>
    <t xml:space="preserve">laboratórne vyšetrovacie metódy </t>
  </si>
  <si>
    <t>dejiny a teória výtvarného umenia a architektúry</t>
  </si>
  <si>
    <t>systematická filozofia</t>
  </si>
  <si>
    <t>riadenie a organizácia sociálnych služieb</t>
  </si>
  <si>
    <t>sociálna práca v zdravotníctve</t>
  </si>
  <si>
    <t>sociálna psychológia a psychológia práce</t>
  </si>
  <si>
    <t>sociálna psychológia</t>
  </si>
  <si>
    <t>Fakulta zdravotníctva a sociálnej práce</t>
  </si>
  <si>
    <t>Tabuľka č. 6: Prehľad akademických mobilít - študenti v akademickom roku 2010/2011 a porovnanie s akademickým rokom 2009/2010</t>
  </si>
  <si>
    <t>V roku 2010/2011</t>
  </si>
  <si>
    <t>Fyzický počet vyslaných študentov</t>
  </si>
  <si>
    <t>Počet osobomesiacov vyslaných študentov</t>
  </si>
  <si>
    <t>Fyzický počet prijatých študentov</t>
  </si>
  <si>
    <t>Počet osobomesiacov, prijatých študentov</t>
  </si>
  <si>
    <t>programy ES</t>
  </si>
  <si>
    <t>NŠP</t>
  </si>
  <si>
    <t>iné (CEEPUS, NIL, ..)</t>
  </si>
  <si>
    <t>V roku 2009/2010</t>
  </si>
  <si>
    <t>Rozdiel 2011 a 2010</t>
  </si>
  <si>
    <t xml:space="preserve">Rozdiel v % </t>
  </si>
  <si>
    <t>Tabuľka č. 19: Finančné prostriedky na výskumné projekty získané v roku 2011</t>
  </si>
  <si>
    <t>P. č.</t>
  </si>
  <si>
    <t>Poskytovateľ finančých prostriedkov (grantová agentúra, objednávateľ)</t>
  </si>
  <si>
    <t>Grant (G)/objednávka (O)</t>
  </si>
  <si>
    <t>Domáce (D)/zahraničné (Z)</t>
  </si>
  <si>
    <t>Číslo/
identifikácia projektu</t>
  </si>
  <si>
    <t xml:space="preserve">Priezvisko, meno 
a tituly zodpovedného riešiteľa projektu </t>
  </si>
  <si>
    <t xml:space="preserve">Názov projektu </t>
  </si>
  <si>
    <t>Obdobie riešenia projektu (od - do)</t>
  </si>
  <si>
    <t>Objem dotácie/finančných prostriedkov prijatých VŠ 
na jej účet 
v období od 1.1. do 31.12.
v eur
v kategórii BV</t>
  </si>
  <si>
    <t>Objem dotácie/finančných prostriedkov prijatých VŠ 
na jej účet 
v období od 1.1. do 31.12.
v eur
v kategórii KV</t>
  </si>
  <si>
    <t>Poznámky
a doplňujúce informácie</t>
  </si>
  <si>
    <t>VEGA</t>
  </si>
  <si>
    <t>G</t>
  </si>
  <si>
    <t>D</t>
  </si>
  <si>
    <t>1/0015/11</t>
  </si>
  <si>
    <t>Petruf Pavol, prof., PhDr., DrSc.</t>
  </si>
  <si>
    <t>Spojené štáty a politická a hospodárska reštrukturalizácia Európy 1943 – 1949</t>
  </si>
  <si>
    <t>2011 - 2012</t>
  </si>
  <si>
    <t>1/0658/11</t>
  </si>
  <si>
    <t>Mária Kohútová, doc., PhDr., CSc.</t>
  </si>
  <si>
    <t>Pramene k slovenským novovekým dejinám</t>
  </si>
  <si>
    <t>2011 - 2013</t>
  </si>
  <si>
    <t>1/0258/11</t>
  </si>
  <si>
    <t>Dolista Josef, prof. Dr., ThD., PhD.</t>
  </si>
  <si>
    <t>Problém identity osobnosti v súčasnej spoločnosti</t>
  </si>
  <si>
    <t>1/1007/11</t>
  </si>
  <si>
    <t>Juríková Erika, Mgr., PhD.</t>
  </si>
  <si>
    <t xml:space="preserve">Kapitoly z dejín vied o antickom staroveku (klasická filológia, </t>
  </si>
  <si>
    <t>1/0577/11</t>
  </si>
  <si>
    <t>Balta Ivan, prof., DrSc.,</t>
  </si>
  <si>
    <t>Trnavské univerzitné tlače 17. a 18. storočia II.</t>
  </si>
  <si>
    <t>2011 - 2014</t>
  </si>
  <si>
    <t>1/0213/10</t>
  </si>
  <si>
    <t>Rusnák Peter, Mgr., PhD.</t>
  </si>
  <si>
    <t>Fenomén krásy v reflexii ruského a slovanského myslenia 20. storočia</t>
  </si>
  <si>
    <t>2010 - 2011</t>
  </si>
  <si>
    <t>1/0232/10</t>
  </si>
  <si>
    <t>Novotná Mária, prof. PhDr., DrSc.</t>
  </si>
  <si>
    <t>Inovácia a tradícia v neskorej dobe kamennej a bronzovej na Slovensku II.</t>
  </si>
  <si>
    <t>1/0267/10</t>
  </si>
  <si>
    <t>Katuninec Milan, doc. PhDr., PhD.</t>
  </si>
  <si>
    <t>Analýza totalitarizmu, jeho pôvod a riziká návratu</t>
  </si>
  <si>
    <t>1/0234/10</t>
  </si>
  <si>
    <t>Marek Miloš, Mgr., PhD.</t>
  </si>
  <si>
    <t>Rodové archívy slovenskej šľachty</t>
  </si>
  <si>
    <t>1/0208/10</t>
  </si>
  <si>
    <t>Lopatková Zuzana, PhDr., PhD.</t>
  </si>
  <si>
    <t>Kanonické vizitácie ako historický prameň</t>
  </si>
  <si>
    <t>1/0228/10</t>
  </si>
  <si>
    <t>Halama Peter, doc. Mgr., PhD.</t>
  </si>
  <si>
    <t>Validita aplikácií teórie odpovede na položku v psychometrii. Komparácia s klasickou teóriou testov.</t>
  </si>
  <si>
    <t>1/0252/10</t>
  </si>
  <si>
    <t>Naništová Eva, doc., PhDr., CSc.</t>
  </si>
  <si>
    <t>Psychologická antropológia: kontexty a antropologické konštanty z hľadiska dimenzionálnej ontológie</t>
  </si>
  <si>
    <t>2/0023/10</t>
  </si>
  <si>
    <t>Špajdel Marián, Mgr., PhD.</t>
  </si>
  <si>
    <t>Neurokognitívne mechanizmy selektívneho zamerania a udržania pozornosti</t>
  </si>
  <si>
    <t>2010 - 2012</t>
  </si>
  <si>
    <t>1/0209/10</t>
  </si>
  <si>
    <t>Martinkovič Marcel, Mgr., PhD.</t>
  </si>
  <si>
    <t>Idey a vývoj slovenského národotvorného myslenia.</t>
  </si>
  <si>
    <t>1/0732/09</t>
  </si>
  <si>
    <t>Marsina Richard, Dr. h. c. prof. PhDr., DrSc.</t>
  </si>
  <si>
    <t>Pramene k stredovekým slovenským dejinám II.</t>
  </si>
  <si>
    <t>2009 - 2011</t>
  </si>
  <si>
    <t>1/0408/09</t>
  </si>
  <si>
    <t>Kuzmová Klára, doc. PhDr., CSc.</t>
  </si>
  <si>
    <t>Rimania a Germáni na strednom Dunaji: kontakty a konfrontácie</t>
  </si>
  <si>
    <t>2/0105/09</t>
  </si>
  <si>
    <t>Sídla a hroby spoločenskej elity na Slovensku vo včasnej dobe dejinnej a na začiatku stredoveku</t>
  </si>
  <si>
    <t>2/0067/09</t>
  </si>
  <si>
    <t>Postavenie latinčiny na Slovensku v 19. storočí</t>
  </si>
  <si>
    <t>2009 - 2012</t>
  </si>
  <si>
    <t>2/0109/09</t>
  </si>
  <si>
    <t>Múdry Pavol, RNDr. CSc.</t>
  </si>
  <si>
    <t>Využitie genomických a proteomických prístupov na charakterizáciu mutantných línií amarantu</t>
  </si>
  <si>
    <t>1/0065/09</t>
  </si>
  <si>
    <t>Adamík Šimegová Miroslava, Mgr. PhD.</t>
  </si>
  <si>
    <t>Kognitívne, emocionálne a morálne aspekty školského šikanovania a ich využitie v prevencii šikanovania na základnej škole</t>
  </si>
  <si>
    <t>1/0172/09</t>
  </si>
  <si>
    <t>Pupala Branislav, prof. PhDr.CSc.</t>
  </si>
  <si>
    <t>Zmeny školského prostredia z hľadiska reprodukcie kultúrnej gramotnosti</t>
  </si>
  <si>
    <t>1/0566/09</t>
  </si>
  <si>
    <t>Trnka Alfréd, prof. RNDr. PhD.</t>
  </si>
  <si>
    <t>Faktory ovplyvňujúce obranné správanie u vtákov: vplyv sociálneho systému, pohlavia, kvality a skúseností rodičovského páru na intenzitu hniezdnej obrany u trsteniarika škriekavého (Acrocephalus arundinaceus)</t>
  </si>
  <si>
    <t>2/026/10</t>
  </si>
  <si>
    <t>Paštéka Milan, doc. RNDr. CSc.</t>
  </si>
  <si>
    <t>Teória čísel a jej aplikácie</t>
  </si>
  <si>
    <t>1/0247/10</t>
  </si>
  <si>
    <t>Mišút Martin, doc. Ing. CSc.</t>
  </si>
  <si>
    <t>Využitie interakcií na inováciu vyučovania informatiky</t>
  </si>
  <si>
    <t>1/0413/10</t>
  </si>
  <si>
    <t>Held Ľubomír, prof. PhDr. CSc.</t>
  </si>
  <si>
    <t>Princípy a stratégie komunikácie vedcov s verejnosťou</t>
  </si>
  <si>
    <t>2/0132/11</t>
  </si>
  <si>
    <t>Bílik René, prof. PaedDr. CSc.</t>
  </si>
  <si>
    <t>Dejiny literatúry po roku 1945</t>
  </si>
  <si>
    <t>1/0110/11</t>
  </si>
  <si>
    <t>Kudláčová Blanka, doc. PhDr. Ing. PhD.</t>
  </si>
  <si>
    <t>Teoretické východiská európskeho pedagogického myslenia (prechod od moderny k postmoderne po súčasnosť)</t>
  </si>
  <si>
    <t>1/0124/11</t>
  </si>
  <si>
    <t>Fančovičová Jana, PaedDr. PhD.</t>
  </si>
  <si>
    <t>Experimentálne overenie efektívnosti pitiev v kognitívnej, afektívnej a psychomotorickej oblasti</t>
  </si>
  <si>
    <t>2011-2013</t>
  </si>
  <si>
    <t>1/0224/11</t>
  </si>
  <si>
    <t>Kaščák Ondrej, doc. PaedDr. PhD.</t>
  </si>
  <si>
    <t>Archeológia neoliberálnej guvernmentality v súčasnej školskej politike a v teórii vzdelávania</t>
  </si>
  <si>
    <t>FZaSP</t>
  </si>
  <si>
    <t>1/0957/11</t>
  </si>
  <si>
    <t>Levická Jana, prof. doc., PhD.</t>
  </si>
  <si>
    <t>Evalvácia sociálnych služieb</t>
  </si>
  <si>
    <t>2011-2012</t>
  </si>
  <si>
    <t>2/0102/10</t>
  </si>
  <si>
    <t>Šimon Marinčák</t>
  </si>
  <si>
    <t>Hagiograficke a bohoslužobné texty súvisiace s cyrilo-metodskou misiou</t>
  </si>
  <si>
    <t>2010-2013</t>
  </si>
  <si>
    <t>1/0274/09</t>
  </si>
  <si>
    <t xml:space="preserve">Peter Dubovský </t>
  </si>
  <si>
    <t>Komentár k biblickej knihe Exodus</t>
  </si>
  <si>
    <t>2009-2011</t>
  </si>
  <si>
    <t>1/0628/09</t>
  </si>
  <si>
    <t>Ján Ďurica</t>
  </si>
  <si>
    <t xml:space="preserve">Stručný katolícky teologický slovník </t>
  </si>
  <si>
    <t>2/0020/09</t>
  </si>
  <si>
    <t>Cyrilské a letinské pramene byzantsko-slovanskej tradície na Slovensku</t>
  </si>
  <si>
    <t>2009-2012</t>
  </si>
  <si>
    <t>1/0183/09</t>
  </si>
  <si>
    <t>Hodálová Ivica JUDr. PhD.</t>
  </si>
  <si>
    <t>Dôstojnosť ľudskej osoby a liberalizácia pracovnoprávnych vzťahov</t>
  </si>
  <si>
    <t>1/0347/09</t>
  </si>
  <si>
    <t>Jankuv Juraj doc. JUDr. PhD.</t>
  </si>
  <si>
    <t>Význam medzinárodnej zmluvy ako inštitútu medzinárodného práva v globalizovanom právnom prostredí a jej interakcia s právnym poriadkom SR</t>
  </si>
  <si>
    <t>1/0062/10</t>
  </si>
  <si>
    <t>Švecová Adriana doc. JUDr. Mgr. PhD.</t>
  </si>
  <si>
    <t>Postavenie a uplatnenie prameňov práva v historickoprávnom vývoji na území Slovenska</t>
  </si>
  <si>
    <t>1/0088/10</t>
  </si>
  <si>
    <t>Košičiarová Soňa doc. JUDr. PhD.</t>
  </si>
  <si>
    <t>Princípy dobrej verejnej správy - legislatívne opatrenia na zvyšenie ich účinnosti v praxi</t>
  </si>
  <si>
    <t>1/0200/10</t>
  </si>
  <si>
    <t>Barancová Helena prof. JUDr. DrSc.</t>
  </si>
  <si>
    <t xml:space="preserve">Migrácia zamestnancov pri voľnom pohybe služieb v Európskom hospodárskom priestore </t>
  </si>
  <si>
    <t>1/0319/10</t>
  </si>
  <si>
    <t>Ševčík Marián JUDr. CSc.</t>
  </si>
  <si>
    <t>Správne súdnictvo</t>
  </si>
  <si>
    <t>1/0665/10</t>
  </si>
  <si>
    <t>Novotná Marianna JUDr. PhD.</t>
  </si>
  <si>
    <t>Europeizácia slovenského súkromného práva na pozadí kreovania európskeho zmluvného a deliktioného práva ako spoločného základu súkromného práva európskych právnych poriadkov</t>
  </si>
  <si>
    <t>1/0729/10</t>
  </si>
  <si>
    <t>Olšovská Andrea doc. JUDr. Mgr. PhD.</t>
  </si>
  <si>
    <t>Sociálne riziká a základné ľudské práva - výzvy pre pracovné právo 21. storočia</t>
  </si>
  <si>
    <t>1/0051/11</t>
  </si>
  <si>
    <t>Lantajová Dagmar JUDr. PhD.</t>
  </si>
  <si>
    <t>Medzinárodné trestné právo a jeho vplyv na právny poriadok SR</t>
  </si>
  <si>
    <t>1/0242/11</t>
  </si>
  <si>
    <t>Lišiak Peter JUDr. PhD.</t>
  </si>
  <si>
    <t>Ochrana súkromia na pracovisku z pohľadu ústavného práva</t>
  </si>
  <si>
    <t>1/0275/11</t>
  </si>
  <si>
    <t>Prochazka Radoslav doc. JUDr. PhD. J.S.D.</t>
  </si>
  <si>
    <t>Súdy a tvorba práva - hypertrofia legislatívy a judikatúru ako prameň práva</t>
  </si>
  <si>
    <t>1/0381/11</t>
  </si>
  <si>
    <t>Blaho Peter Dr. h. c. prof. JUDr. CSc.</t>
  </si>
  <si>
    <t>Justiniánske Digestá a ich sprístupňovanie vo vedeckej a odbornej komunite</t>
  </si>
  <si>
    <t>1/0495/11</t>
  </si>
  <si>
    <t>Vladár Vojtech JUDr. PhD.</t>
  </si>
  <si>
    <t>Teológia a právo - Prínos kresťanstva k rozvoju európskej právnej kultúry</t>
  </si>
  <si>
    <t>1/0505/11</t>
  </si>
  <si>
    <t>Šmid Marek prof. doc. JUDr. PhD.</t>
  </si>
  <si>
    <t>Medzinárodné a vnútroštátne právne aspekty praktickej aplikácie inštitútu uznania štátu a ich interakcia s postavením fyzických a právnických osôb</t>
  </si>
  <si>
    <t>Ústav dejín</t>
  </si>
  <si>
    <t>1/0022/11</t>
  </si>
  <si>
    <t>Manák Marián, PhDr., PhD.</t>
  </si>
  <si>
    <t>Archívne pramene k dejinám Trnavskej univerzity</t>
  </si>
  <si>
    <t>KEGA</t>
  </si>
  <si>
    <t>002TVU-4/2011</t>
  </si>
  <si>
    <t>Zervan Marian, prof. PhDr., PhD.</t>
  </si>
  <si>
    <t>Príbehy Márie. Mariánska ikonografia v miestach mariánskej úcty na Slovensku.</t>
  </si>
  <si>
    <t>017TVU-4/2011</t>
  </si>
  <si>
    <t>Rusinová Zora, prof. PhDr., PhD.</t>
  </si>
  <si>
    <t>Kapitoly z vizuálnych kultúrnych štúdií</t>
  </si>
  <si>
    <t>108-010TVU-4/2010</t>
  </si>
  <si>
    <t>Kuzmová Klára, prof. PhD., CSc.</t>
  </si>
  <si>
    <t>Klasická archeológia: nové metódy vo výučbe a tvorba študijných materiálov na báze informačných technológií</t>
  </si>
  <si>
    <t>3/7263/09</t>
  </si>
  <si>
    <t>Híc Pavel, doc. RNDr. CSc.</t>
  </si>
  <si>
    <t>E-learning ako efektívny nástroj vo vyučovaní matematiky</t>
  </si>
  <si>
    <t>3/7227/09</t>
  </si>
  <si>
    <t>Ožvoldová Miroslava, doc. RNDr. CSc.</t>
  </si>
  <si>
    <t>Dobudovanie reálneho on-line e-laboratória - prostredia pre integrované rozvíjanie kľúčových kompetencií študenta a učiteľa tretieho tisícročia</t>
  </si>
  <si>
    <t>3/7040/09</t>
  </si>
  <si>
    <t>Teoretické aspekty jazykového a literárneho vzdelávania v príprave učiteľov materinského jazyka a literatúry</t>
  </si>
  <si>
    <t>3/7035/09</t>
  </si>
  <si>
    <t>Kolláriková Zuzana, doc. PhDr. PhD.</t>
  </si>
  <si>
    <t>Konceptuálna a metodická podpora tvorby školských vzdelávacích programov</t>
  </si>
  <si>
    <t>476-028-KU-4/2010</t>
  </si>
  <si>
    <t>Gajdošíková Zeleiová, Mgr. art. PhD.</t>
  </si>
  <si>
    <t>Napĺňanie kultúrnych potrieb znevýhodnených skupín prostredníctvom muzikoterapeutických a etnopedagogických prístupov v umeleckom vzdelávaní</t>
  </si>
  <si>
    <t>204-014TVU-4/2010</t>
  </si>
  <si>
    <t>Balážová Mária, doc. Mgr. art.</t>
  </si>
  <si>
    <t>Animácia výtvarného umenia a multimédiá</t>
  </si>
  <si>
    <t>175-006TVU-4/2010</t>
  </si>
  <si>
    <t>Lucká Mária, doc. RNDr. PhD.</t>
  </si>
  <si>
    <t>Vieš čo vieš?</t>
  </si>
  <si>
    <t>119-005TVU-4/2010</t>
  </si>
  <si>
    <t>Gazdíková Viola, PaedDr. Mgr. PhD.</t>
  </si>
  <si>
    <t>Rozvoj digitálnej gramotnosti v základnej a strednej škole</t>
  </si>
  <si>
    <t>021TVU-4/2011</t>
  </si>
  <si>
    <t>Petrová Zuzana, PaedDr. PhD.</t>
  </si>
  <si>
    <t>Inovácia hospitačných pedagogických praxí prostredníctvom videozáznamov</t>
  </si>
  <si>
    <t>028UK-4/2011</t>
  </si>
  <si>
    <t>Židek Oliver, doc. PhDr. PhD.</t>
  </si>
  <si>
    <t>Manipulačné a virtuálne geometrické modelovanie v príprave učiteľov pre primárne matematické vzdelávanie</t>
  </si>
  <si>
    <t>009TVU-4/2011</t>
  </si>
  <si>
    <t>Lechta Viktor, prof. PhDr. PhD.</t>
  </si>
  <si>
    <t>Inkluzívna edukácia ako viacdimenzionálny výchovný problém</t>
  </si>
  <si>
    <t>010UMB-4/2011</t>
  </si>
  <si>
    <t>Pokorný Milan, PaedDr. PhD.</t>
  </si>
  <si>
    <t>Tvorba elektronických kurzov z matematiky pre žiakov základných škôl a prvých 4 ročníkov osemročných gymnázií</t>
  </si>
  <si>
    <t>(G)</t>
  </si>
  <si>
    <t>(D)</t>
  </si>
  <si>
    <t>017KU4/2011</t>
  </si>
  <si>
    <t xml:space="preserve">doc. PhDr. Jana Boroňová, PhD. </t>
  </si>
  <si>
    <t xml:space="preserve">Farmakoterapia seniora z pohľadu ošetrovateľstva </t>
  </si>
  <si>
    <t>02/2011 -02/2012</t>
  </si>
  <si>
    <t xml:space="preserve"> partner </t>
  </si>
  <si>
    <t>3/7445/09</t>
  </si>
  <si>
    <t>Tvorba bakalárskeho a magisterského študijného programu "Európske a medzinárodné právo" v anglickom jazyku</t>
  </si>
  <si>
    <t>3/7511/09</t>
  </si>
  <si>
    <t>Mosný Peter Dr.h.c. prof. JUDr. CSc.</t>
  </si>
  <si>
    <t>Výskum kvality formácie a vedecko-kvalifikačných výstupov mladých právnych vedcov SR prostredníctvom participácie na tvorbe modelového e-vedeckého časopisu (HISTORIA ET THEORIA IURIS)</t>
  </si>
  <si>
    <t>APVV</t>
  </si>
  <si>
    <t>SK-SRB 005-09</t>
  </si>
  <si>
    <t>Híc Pavel, doc. RNDr. CSc.      Stevanovič Dragan, prof. PhD.</t>
  </si>
  <si>
    <t>Nové triedy integrálnych grafov</t>
  </si>
  <si>
    <t>APVV-0085-10</t>
  </si>
  <si>
    <t>Dejiny slovenskej literatúry po roku 1945</t>
  </si>
  <si>
    <t>LPP-0048-09</t>
  </si>
  <si>
    <t>Flexibilita pracovného práva a nový systém sociálnej bezpečnsoti</t>
  </si>
  <si>
    <t>Mesto Trnava</t>
  </si>
  <si>
    <t>11/2/3/26</t>
  </si>
  <si>
    <t>Démuth Andrej, doc. Mgr., PhD.</t>
  </si>
  <si>
    <t>História a poslanie filozofie na Trnavskej univerzite</t>
  </si>
  <si>
    <t>06/2011 -12/2011</t>
  </si>
  <si>
    <t>11/2/3/27</t>
  </si>
  <si>
    <t>Gabriel Heveneši a jeho dielo Životopisy svätcov</t>
  </si>
  <si>
    <t>11/2/3/28</t>
  </si>
  <si>
    <t>Dobrotková Marta, prof. PhDr., CSc.</t>
  </si>
  <si>
    <t>Studia historica XIII.</t>
  </si>
  <si>
    <t>Ministerstvo kultúry</t>
  </si>
  <si>
    <t>MK-1585/2011/4.3.4.</t>
  </si>
  <si>
    <t>Gojdič Ivan, Ing. Arch.</t>
  </si>
  <si>
    <t>Umenie na Slovensku v kultúrnych a historických súvislostiach 2011</t>
  </si>
  <si>
    <t>07/2011 - 12/2011</t>
  </si>
  <si>
    <t>11/2/3/23</t>
  </si>
  <si>
    <t>Lagerová Viera, PaedDr. Phd.        Kramárová Michaela, Mgr. PhD.</t>
  </si>
  <si>
    <t>Vplyv rozvoja učebných stratégií na výučbu nemeckého jazyka na základných školách</t>
  </si>
  <si>
    <t>11/2/3/24</t>
  </si>
  <si>
    <t>Eliminácia mylných predstáv používaním živých organizmov a modelov na hodinách biológie</t>
  </si>
  <si>
    <t>11/2/3/25</t>
  </si>
  <si>
    <t>Jančovičová Ľudmila, doc. PhDr. PhD.</t>
  </si>
  <si>
    <t>Modelové úlohy s prvkami projektového vyučovania a konštruktivizmu na vyučovanie anglického jazyka na 1. stupni ZŠ</t>
  </si>
  <si>
    <t>11/2/4/30</t>
  </si>
  <si>
    <t>Lukáčová Eva, Mgr. PhD.</t>
  </si>
  <si>
    <t>Eva Luka HAVRANJEL - tlač a vydanie poézie</t>
  </si>
  <si>
    <t>11/3/9/5</t>
  </si>
  <si>
    <t>Fančovičová Jana, PaedDr. PhD. (garant)</t>
  </si>
  <si>
    <t xml:space="preserve">Mapovanie drevín lesoparku Kamenný mlyn </t>
  </si>
  <si>
    <t>11/2/4/31</t>
  </si>
  <si>
    <t>Branišová Zuzana, Mgr. art. PhD.</t>
  </si>
  <si>
    <t>Katalóg k výstave BATIK v Západnom krídle vydanie skladačky k výstave študentov Katedry pedagogiky výtvarného umenia na TU</t>
  </si>
  <si>
    <t>11/2/3/29</t>
  </si>
  <si>
    <t>doc. PhDr. Jana Keketiová, PhD.</t>
  </si>
  <si>
    <t>Medzinárodná konferencia: Jazyková kompetencia ako súčasť celoživotného vzdelávania, 2. ročník</t>
  </si>
  <si>
    <t>28/10/2011</t>
  </si>
  <si>
    <t>11/2/3/80</t>
  </si>
  <si>
    <t>Doc. PharmDr. Pavol Beňo, CSc.</t>
  </si>
  <si>
    <t>Medzinárodná konferencia: Komunikácia s pacientmi/klientmi s postihnutím sluchu</t>
  </si>
  <si>
    <t>12/10/2011</t>
  </si>
  <si>
    <t>Nadácia Slovenskej sporiteľne</t>
  </si>
  <si>
    <t>Na-214-2011</t>
  </si>
  <si>
    <t>Komunikácia  so sluchovo postihnutými v zdravotníctve a sociálnej práci</t>
  </si>
  <si>
    <t>06/2011 -02/2012</t>
  </si>
  <si>
    <t xml:space="preserve">        Zahraničné</t>
  </si>
  <si>
    <t>Komisia európskeho spoločenstva Pri-Sci-Net</t>
  </si>
  <si>
    <t>Z</t>
  </si>
  <si>
    <t>Žoldošová Kristína, doc. PaedDr. PhD.</t>
  </si>
  <si>
    <t>Vytváranie siete školiteľov prírodovedného vzdelávania pre profesionálny rozvoj učiteľov vo výskumne ladenej koncepcii</t>
  </si>
  <si>
    <t>Erste Stiftung</t>
  </si>
  <si>
    <t>bez čísla</t>
  </si>
  <si>
    <t>Orišková Mária, doc. Mgr. art.</t>
  </si>
  <si>
    <t>Kritické pojmy pre východoeurópske dejiny umenia a vizuálnu kultúru</t>
  </si>
  <si>
    <t>Ministerstvo výstavby a regionálneho rozvoja</t>
  </si>
  <si>
    <t>MVRR-2008-12810/32140-1</t>
  </si>
  <si>
    <t>Lucká Mária, doc. RNDr. CSc.</t>
  </si>
  <si>
    <t>Diagnostika stavu znalostí a dovedností žáku v česko-slovenské příhraniční oblasti se zaměřením na jejich rozvoj</t>
  </si>
  <si>
    <t>2008 - 2011</t>
  </si>
  <si>
    <t>Executive Agency for Health and Consumers Luxembourg, SANCO</t>
  </si>
  <si>
    <t>2008 11 05 RAPID</t>
  </si>
  <si>
    <t>PhDr.  Marek Majdan, PhD.</t>
  </si>
  <si>
    <t>RAPID – Risk assessment from policy to impact dimension</t>
  </si>
  <si>
    <t>03/2009 - 03/2012</t>
  </si>
  <si>
    <t>PhDr. Daniela Kállayová, PhD.</t>
  </si>
  <si>
    <t>Healthy Inclusion - Zdravotná inklúzia</t>
  </si>
  <si>
    <t>08/2008 - 2011</t>
  </si>
  <si>
    <t>European Education Institution</t>
  </si>
  <si>
    <t>Katedra VZ, FZaSP TU</t>
  </si>
  <si>
    <t>SEPA</t>
  </si>
  <si>
    <t>Tabuľka č. 18: Zoznam priznaných práv uskutočňovať habilitačné konanie a konanie na vymenúvanie profesorov - pozastavenie, odňatie alebo skončenie platnosti priznaného práva k 31.12.2011</t>
  </si>
  <si>
    <t>Odbor</t>
  </si>
  <si>
    <t>Dátum odňatia alebo skončenia platnosti</t>
  </si>
  <si>
    <t xml:space="preserve">Filozofická </t>
  </si>
  <si>
    <t>2.1.17. dejiny a teória umenia</t>
  </si>
  <si>
    <t>9.2.2011 - odňatie</t>
  </si>
  <si>
    <t>2.1.9. slovenské dejiny</t>
  </si>
  <si>
    <t>31.8.2011 - skončenie platnosti</t>
  </si>
  <si>
    <t>7.4.1 ošetrovateľstvo</t>
  </si>
  <si>
    <t xml:space="preserve">29.7.2011 - odňatie </t>
  </si>
  <si>
    <t>7.4.2. verejné zdravotníctvo</t>
  </si>
  <si>
    <t>7.4.3. laboratórne vyšetrovacie metódy v zdravotníctve</t>
  </si>
  <si>
    <t>Tabuľka č. 17: Zoznam priznaných práv uskutočňovať habilitačné konanie a konanie na vymenúvanie profesorov  k 31.12.2011</t>
  </si>
  <si>
    <t xml:space="preserve">Pedagogická </t>
  </si>
  <si>
    <t>1.1.10. odborová didaktika</t>
  </si>
  <si>
    <t>1.1.4. pedagogika</t>
  </si>
  <si>
    <t>1.1.13. katolícka teológia</t>
  </si>
  <si>
    <t>1.1.2. systematická filozofia</t>
  </si>
  <si>
    <t xml:space="preserve">Právnická </t>
  </si>
  <si>
    <t>3.4.2. teória a dejiny štátu a práva</t>
  </si>
  <si>
    <t>3.4.6. pracovné právo</t>
  </si>
  <si>
    <t>3.4.7. trestné právo</t>
  </si>
  <si>
    <t>Tabuľka č. 8: Zoznam vymenovaných docentov za rok 2011</t>
  </si>
  <si>
    <t>P.č.</t>
  </si>
  <si>
    <t>Meno a priezvisko</t>
  </si>
  <si>
    <t>Dátum začiatku konania</t>
  </si>
  <si>
    <t>Dátum udelenia titulu</t>
  </si>
  <si>
    <t>Zamestnanec vysokej školy (áno/nie)</t>
  </si>
  <si>
    <t>Zuzana Lopatková, PhDr., PhD.</t>
  </si>
  <si>
    <t>18.05.2011</t>
  </si>
  <si>
    <t>15.07.2011</t>
  </si>
  <si>
    <t>áno</t>
  </si>
  <si>
    <t>Miloš Marek, Mgr., PhD.</t>
  </si>
  <si>
    <t>19.05.2011</t>
  </si>
  <si>
    <t>Kristína Žoldošová, doc. PaedDr., PhD.</t>
  </si>
  <si>
    <t>Ing. Alexandr Popkov, PhD.</t>
  </si>
  <si>
    <t>nie</t>
  </si>
  <si>
    <t>Miroslav Karaba, PhDr., PhD.</t>
  </si>
  <si>
    <t>2.1.2. systematická filozofia</t>
  </si>
  <si>
    <t xml:space="preserve">Ľuboš Rojka SJ, PhLic. Ing., PhD.  </t>
  </si>
  <si>
    <t xml:space="preserve">Stanislav Přibyl, JUDr., PhD., JCD. </t>
  </si>
  <si>
    <t>22.04.2010</t>
  </si>
  <si>
    <t xml:space="preserve">Andrea Olšovská, JUDr. Mgr., PhD. </t>
  </si>
  <si>
    <t>30.06.2010</t>
  </si>
  <si>
    <t>Miriam Laclavíková, JUDr., PhD.</t>
  </si>
  <si>
    <t xml:space="preserve">Adriána Švecová, JUDr. PhDr., PhD. </t>
  </si>
  <si>
    <t xml:space="preserve">Adrián Jalč, JUDr. Ing., PhD. </t>
  </si>
  <si>
    <t>18.10.2010</t>
  </si>
  <si>
    <t>Habilitačné konanie</t>
  </si>
  <si>
    <t>V tom počet žiadostí mimo vysokej školy</t>
  </si>
  <si>
    <t>Počet neskončených konaní: stav k 1.1.2011</t>
  </si>
  <si>
    <t>Počet neskončených konaní: stav k 31.12.2011</t>
  </si>
  <si>
    <t>Počet riadne skončených konaní k 31.12.2011</t>
  </si>
  <si>
    <t>Počet inak skončených konaní</t>
  </si>
  <si>
    <t xml:space="preserve"> - zamietnutie</t>
  </si>
  <si>
    <t xml:space="preserve"> - stiahnutie</t>
  </si>
  <si>
    <t xml:space="preserve"> - iné (smrť, odňatie práva a pod.)</t>
  </si>
  <si>
    <t>Celkový počet vymenovaných docentov</t>
  </si>
  <si>
    <t>Priemerný vek</t>
  </si>
  <si>
    <t>Tabuľka č. 7: Zoznam predložených návrhov na vymenovanie za profesora v roku 2011</t>
  </si>
  <si>
    <t>Dátum predloženia ministrovi</t>
  </si>
  <si>
    <t>Marta Dobrotková, doc. PhDr., CSc.</t>
  </si>
  <si>
    <t>MUDr. Jozef Glasa, doc., CSc. PhD.</t>
  </si>
  <si>
    <t>Inauguračné konanie</t>
  </si>
  <si>
    <t>Celkový počet predložených návrhov</t>
  </si>
  <si>
    <t>Priemerný vek uchádzačov</t>
  </si>
  <si>
    <t>1.</t>
  </si>
  <si>
    <t>Tabuľka č. 9: Výberové konania na miesta vysokoškolských učiteľov uskutočnené v roku 2011</t>
  </si>
  <si>
    <t>Funkcia</t>
  </si>
  <si>
    <t>Počet výberových konaní</t>
  </si>
  <si>
    <t>Priemerný počet uchádzačov na obsadenie pozície</t>
  </si>
  <si>
    <t>Priemerný počet uchádzačov, ktorí v čase výberového konania neboli v pracovnom pomere s vysokou školou</t>
  </si>
  <si>
    <t>Priemerná dĺžka uzatvorenia pracovnej zmluvy na dobu určitú</t>
  </si>
  <si>
    <t>Počet zmlúv uzatvorených na dobu neurčitú</t>
  </si>
  <si>
    <t>Počet konaní bez uzatvorenia zmluvy</t>
  </si>
  <si>
    <t>Počet konaní, do ktorých sa neprihlásil žiaden uchádzač</t>
  </si>
  <si>
    <t>Počet konaní, kde bol prihlásený vš učiteľ, ktorý opätovne obsadil to isté miesto</t>
  </si>
  <si>
    <t>Profesora</t>
  </si>
  <si>
    <t>Docenta</t>
  </si>
  <si>
    <t>Ostatné</t>
  </si>
  <si>
    <t>Počet miest obsadených bez výberového konania</t>
  </si>
  <si>
    <t>Zamestnanec</t>
  </si>
  <si>
    <t>Fyzický počet</t>
  </si>
  <si>
    <t>Prepočítaný počet</t>
  </si>
  <si>
    <t>VŠ učiteľ nad 70 rokov</t>
  </si>
  <si>
    <t>Ostatní</t>
  </si>
  <si>
    <t>Tabuľka č. 10: Kvalifikačná štruktúra vysokoškolských učiteľov</t>
  </si>
  <si>
    <t>Evidenčný prepočítaný počet vysokoškolských učiteľov k 31. 10. 2011</t>
  </si>
  <si>
    <t>Profesori, docenti s DrSc.</t>
  </si>
  <si>
    <t>Docenti, bez DrSc.</t>
  </si>
  <si>
    <t>Ostatní učitelia s DrSc.</t>
  </si>
  <si>
    <t>Ostatní učitelia s PhD, CSc.</t>
  </si>
  <si>
    <t>Ostatní učitelia bez vedeckej hodnosti</t>
  </si>
  <si>
    <t>Podiel v %</t>
  </si>
  <si>
    <t>Podiel v % v 2010</t>
  </si>
  <si>
    <t>Rozdiel 2011 - 2010</t>
  </si>
  <si>
    <t>Zdravotná</t>
  </si>
  <si>
    <t>Zdravotnícka</t>
  </si>
  <si>
    <t>Tabuľka č. 11: Prehľad akademických mobilít - zamestnanci v akademickom roku 2010/2011 a porovnanie s akademickým rokom 2009/2010</t>
  </si>
  <si>
    <t>Fyzický počet vyslaných zamestnancov</t>
  </si>
  <si>
    <t>Počet osobodní vyslaných zamestnancov</t>
  </si>
  <si>
    <t>Fyzický počet prijatých zamestnancov</t>
  </si>
  <si>
    <t>Počet osobodní, prijatých zamestnancov</t>
  </si>
  <si>
    <t xml:space="preserve">spolu: </t>
  </si>
  <si>
    <t>rozdiel</t>
  </si>
  <si>
    <t xml:space="preserve">rozdiel v % </t>
  </si>
  <si>
    <t>Tabuľka č. 14: Umelecká činnosť vysokej školy za rok 2011 a porovnanie s rokom 2010</t>
  </si>
  <si>
    <t>V roku 2011</t>
  </si>
  <si>
    <t>Kategória fakulta</t>
  </si>
  <si>
    <t>Z**</t>
  </si>
  <si>
    <t>Y**</t>
  </si>
  <si>
    <t>X**</t>
  </si>
  <si>
    <t>ZZZ 2</t>
  </si>
  <si>
    <t>ZZY 4</t>
  </si>
  <si>
    <t>ZYZ 14</t>
  </si>
  <si>
    <t>ZYY 22</t>
  </si>
  <si>
    <t>ZYX 6</t>
  </si>
  <si>
    <t>ZZV 2</t>
  </si>
  <si>
    <t>ZZX 1</t>
  </si>
  <si>
    <t>ZVY 1</t>
  </si>
  <si>
    <t>ZYV 1</t>
  </si>
  <si>
    <t>YVV 1</t>
  </si>
  <si>
    <t>YYY 1</t>
  </si>
  <si>
    <t>YZV 1</t>
  </si>
  <si>
    <t>V roku 2010</t>
  </si>
  <si>
    <t>ZZY 2</t>
  </si>
  <si>
    <t>ZZV 1</t>
  </si>
  <si>
    <t>ZYZ 10</t>
  </si>
  <si>
    <t>ZYY 14</t>
  </si>
  <si>
    <t>ZYX 5</t>
  </si>
  <si>
    <t>ZYV 3</t>
  </si>
  <si>
    <t>ZXY 1</t>
  </si>
  <si>
    <t>ZXX 1</t>
  </si>
  <si>
    <t>ZVZ 1</t>
  </si>
  <si>
    <t>Rozdiel</t>
  </si>
  <si>
    <t>Rozdiel v %</t>
  </si>
  <si>
    <t>Tabuľka č. 13: Publikačná činnosť vysokej školy za rok 2011 a porovnanie s rokom 2010</t>
  </si>
  <si>
    <t>Kategória
fakulta</t>
  </si>
  <si>
    <t>AAA, AAB,
 ABA, ABB</t>
  </si>
  <si>
    <t>ACA, ACB, BAA, BAB, BCB, BCI, EAI, CAA, CAB, EAJ</t>
  </si>
  <si>
    <t>FAI</t>
  </si>
  <si>
    <t>ADC, BDC</t>
  </si>
  <si>
    <t>ADD, BDD</t>
  </si>
  <si>
    <t>CDC, CDD</t>
  </si>
  <si>
    <t>FF</t>
  </si>
  <si>
    <t>PdF</t>
  </si>
  <si>
    <t>TF</t>
  </si>
  <si>
    <t>PF</t>
  </si>
  <si>
    <t>ÚD</t>
  </si>
  <si>
    <t>SHÚ</t>
  </si>
  <si>
    <t>UK</t>
  </si>
  <si>
    <t>Tabuľka č. 21: Prehľad umeleckej činnosti vysokej školy za rok 2011</t>
  </si>
  <si>
    <t>Kategória výkonu</t>
  </si>
  <si>
    <t>Autor</t>
  </si>
  <si>
    <t>Názov projektu/umeleckého výkonu</t>
  </si>
  <si>
    <t>Miesto realizácie</t>
  </si>
  <si>
    <t>Termín realizácie</t>
  </si>
  <si>
    <t>ZZZ</t>
  </si>
  <si>
    <t xml:space="preserve">Cyril Blažo </t>
  </si>
  <si>
    <t>Cyril Blažo: Pekný žobrák / Moravská galerie v Brne</t>
  </si>
  <si>
    <t>Brno</t>
  </si>
  <si>
    <t>3.2. - 22.5.2011</t>
  </si>
  <si>
    <t>Palimpsests: Cyril Blazo and Juergen Von Dueckerhoff / hunt kastner artworks</t>
  </si>
  <si>
    <t>Praha</t>
  </si>
  <si>
    <t>17.5. - 16.6.2011</t>
  </si>
  <si>
    <t>ZZY</t>
  </si>
  <si>
    <t xml:space="preserve">Roman Gajdoš </t>
  </si>
  <si>
    <t>Blažej Baláž: Konceptuálne texty</t>
  </si>
  <si>
    <t>Liptovský Mikuláš</t>
  </si>
  <si>
    <t>10.2. - 9. 4.2011</t>
  </si>
  <si>
    <t>Mária Balážová: Post-geo</t>
  </si>
  <si>
    <t>Mária Balážová</t>
  </si>
  <si>
    <t>Blažej Baláž</t>
  </si>
  <si>
    <t>10.2. - 9.4.2011</t>
  </si>
  <si>
    <t>ZZX</t>
  </si>
  <si>
    <t>Michal Moravčík</t>
  </si>
  <si>
    <t>Michal Moravčík : Glajchszaltung</t>
  </si>
  <si>
    <r>
      <t>Toru</t>
    </r>
    <r>
      <rPr>
        <sz val="12"/>
        <color indexed="8"/>
        <rFont val="Calibri"/>
        <family val="2"/>
      </rPr>
      <t>ń</t>
    </r>
  </si>
  <si>
    <t>16.9. - 9.10.2011</t>
  </si>
  <si>
    <t>ZZV</t>
  </si>
  <si>
    <t>Zuzana Branišová</t>
  </si>
  <si>
    <t>Katedrála sv. Jána Krstiteľa</t>
  </si>
  <si>
    <t>Trnava</t>
  </si>
  <si>
    <t>16.4. - 29.5.2011</t>
  </si>
  <si>
    <t>Kaplnka sv. Jána</t>
  </si>
  <si>
    <t>Bratislava</t>
  </si>
  <si>
    <t>16.10. - 26.10.2011</t>
  </si>
  <si>
    <t>ZYZ</t>
  </si>
  <si>
    <t>VI. Nový Zlínsky Salón 2011</t>
  </si>
  <si>
    <t>Zlín</t>
  </si>
  <si>
    <t>3.5. - 28.8.2011</t>
  </si>
  <si>
    <t>1st International Biennial of Drawing and Graphic Arts Gyor</t>
  </si>
  <si>
    <t>Gyor</t>
  </si>
  <si>
    <t>24.9. - 30.10.2011</t>
  </si>
  <si>
    <t>Veronika Rónaiová</t>
  </si>
  <si>
    <t>obraSKov</t>
  </si>
  <si>
    <t>22.6. - 25.9.2011</t>
  </si>
  <si>
    <t>Pikantotéka / Szlovák Köztársaság Kulturális Intézete</t>
  </si>
  <si>
    <t>Budapešť</t>
  </si>
  <si>
    <t>2.12.2010 - 27.01.2011</t>
  </si>
  <si>
    <t>NA VÝCHOD OD RAJA - FOTOREALIZMUS</t>
  </si>
  <si>
    <t>14.9. - 15.1.2012</t>
  </si>
  <si>
    <t>Prague Biennale</t>
  </si>
  <si>
    <t>19.5. - 11.9.2011</t>
  </si>
  <si>
    <t>Post-Geo-Text/ Slowakisches Institut Berlin</t>
  </si>
  <si>
    <t>Berlín</t>
  </si>
  <si>
    <t>14.4. - 30.5.2011</t>
  </si>
  <si>
    <t>VIENNAFAIR</t>
  </si>
  <si>
    <t>Viedeň</t>
  </si>
  <si>
    <t>12.5. - 15.5.2011</t>
  </si>
  <si>
    <t>Flashbulb Memory, Studio Gallery, Budapest, Hungary</t>
  </si>
  <si>
    <t>ZYY</t>
  </si>
  <si>
    <t>Grafika zo zbierky Galérie M. A. Bazovského v Trenčíne</t>
  </si>
  <si>
    <t>Trenčín</t>
  </si>
  <si>
    <t>09.12.2011 - 05.02.2012</t>
  </si>
  <si>
    <t>Premeny hodnôt slovenskej moderny</t>
  </si>
  <si>
    <t>06.06.2011 - 26.02.2012</t>
  </si>
  <si>
    <t>Súčasná slovenská grafika 17</t>
  </si>
  <si>
    <t>Banská Bystrica</t>
  </si>
  <si>
    <t>23.11.2011 - 19.2.2012</t>
  </si>
  <si>
    <t>Bienále úžitkového umenia 2011</t>
  </si>
  <si>
    <t>14.10.2011 - 30.10.2011</t>
  </si>
  <si>
    <t xml:space="preserve">Bienále v čase normalizácie ( Akvizície z podujatia Súčasná slovenská grafika 1971 - 1989 </t>
  </si>
  <si>
    <t>23. 6. - 11.9.2011</t>
  </si>
  <si>
    <t>Kruhy na vode 2010</t>
  </si>
  <si>
    <t>9.12. - 2.3.2011</t>
  </si>
  <si>
    <t>PF 2011 pre Kolomana Sokola</t>
  </si>
  <si>
    <t>Mladí to vidia inak</t>
  </si>
  <si>
    <t>25.11. - 22.12.2011</t>
  </si>
  <si>
    <t>Sedmokrásky a klony</t>
  </si>
  <si>
    <t>20.9. - 30.10.2011</t>
  </si>
  <si>
    <t>Dančiak, Blažo, Ondreička &amp; 00 co. / Gallery Kressling</t>
  </si>
  <si>
    <t>3.9. - 6.11.2011</t>
  </si>
  <si>
    <t>Alternatívna slovenská grafika</t>
  </si>
  <si>
    <t>23.9. - 5.11.2011</t>
  </si>
  <si>
    <t>COMMON IDENTITY?</t>
  </si>
  <si>
    <t>2.12. - 31.1.2012</t>
  </si>
  <si>
    <t>23.9. - 05.11.2011</t>
  </si>
  <si>
    <t>Nulté roky, od Priestoru po Beskida</t>
  </si>
  <si>
    <t>Žilina</t>
  </si>
  <si>
    <t>14.9. - 23.10.2011</t>
  </si>
  <si>
    <t>ZYX</t>
  </si>
  <si>
    <t>BLONDIAK (1995 - 1996) &amp; BLOND (1994) &amp; 00 (1987-1991) V ETC</t>
  </si>
  <si>
    <t>14.6.2011 - 26.06.2011</t>
  </si>
  <si>
    <t>ReMap 3 / Kerameikos-Metaxourgeio</t>
  </si>
  <si>
    <t>Atény</t>
  </si>
  <si>
    <t>12.9.2011 - 30.10.2011</t>
  </si>
  <si>
    <t>Galicia: Topographies of Myth /Rhythmic Exercises</t>
  </si>
  <si>
    <t>Nowy Sącz</t>
  </si>
  <si>
    <t>7.7. - 7.8.2011</t>
  </si>
  <si>
    <t>5th International Mini Textile Exhibition</t>
  </si>
  <si>
    <t>Ukrajina</t>
  </si>
  <si>
    <t>15.6.2011 - 25.6.2011</t>
  </si>
  <si>
    <t>I Fought the X and the X Won</t>
  </si>
  <si>
    <t>Bukurešť</t>
  </si>
  <si>
    <t>16.4. – 15.5.2011</t>
  </si>
  <si>
    <t>ZYV</t>
  </si>
  <si>
    <t>ZVY</t>
  </si>
  <si>
    <t xml:space="preserve">Veronika Rónaiová </t>
  </si>
  <si>
    <t>Otvorený depozitár</t>
  </si>
  <si>
    <t>15.4.2011 - 25.6.2011</t>
  </si>
  <si>
    <t>YZV</t>
  </si>
  <si>
    <t>Lukáš Kijac a Katarína Krajčíriková: Permanent Blue</t>
  </si>
  <si>
    <t>13.10. - 30.10.2011</t>
  </si>
  <si>
    <t>YYY</t>
  </si>
  <si>
    <t>Sedem dotykov</t>
  </si>
  <si>
    <t>Nitra</t>
  </si>
  <si>
    <t>5.5. - 12.6.2011</t>
  </si>
  <si>
    <t>YVV</t>
  </si>
  <si>
    <t>Pfky</t>
  </si>
  <si>
    <t>8.12.2011 - 29.1.2012</t>
  </si>
  <si>
    <t>Tabuľka č. 20: Finančné prostriedky na ostatné (nevýskumné) projekty získané v roku 2011</t>
  </si>
  <si>
    <t xml:space="preserve">D </t>
  </si>
  <si>
    <t>Mgr. et Mgr.art. Zuzana Branišová</t>
  </si>
  <si>
    <t>Jana Fančovičová</t>
  </si>
  <si>
    <t>PaedDr. Viera Lagerová, PhD.
Mgr. Michaela Kramárová, PhD.</t>
  </si>
  <si>
    <t>4.</t>
  </si>
  <si>
    <t>doc. PhDr. Ľudmila Jančovičová, CSc., mim.prof.</t>
  </si>
  <si>
    <t>Modelové úlohy s prvkami projektového vyučovania a konštruktivizmu na vyučovanie anglického jazyka na 1.stupni základných škôl</t>
  </si>
  <si>
    <t>5.</t>
  </si>
  <si>
    <t>Mgr. Eva Lukáčová, PhD.</t>
  </si>
  <si>
    <t>Eva Luka: Havranjel</t>
  </si>
  <si>
    <t>6.</t>
  </si>
  <si>
    <t>Doc.PharmDr. Pavol Beňo, CSc.
Prof.Ing. Libuša Radková, PhD.</t>
  </si>
  <si>
    <t>Medzinárodná konferencia: Komunikácia s pacientmi/klientmi s postihnutím sluchu</t>
  </si>
  <si>
    <t>7.</t>
  </si>
  <si>
    <t>doc.Mgr.Andrej Démuth,PhD.
Mgr. Renáta Kišoňová, PhD.</t>
  </si>
  <si>
    <t>8.</t>
  </si>
  <si>
    <t>Mgr. Erika Juríková, PhD.</t>
  </si>
  <si>
    <t>Gabriel Heveneši a jeho dielo Životopisy svätcov (Trnava 1962) - workshop</t>
  </si>
  <si>
    <t>9.</t>
  </si>
  <si>
    <t>doc.PhDr. Marta Dobrotková, CSc.</t>
  </si>
  <si>
    <t>Studia historica Tyrnaviensia XI. Cesty za poznaním stredoveku</t>
  </si>
  <si>
    <t>10.</t>
  </si>
  <si>
    <t>doc.PhDr. Jana Kekeriová, PhD.</t>
  </si>
  <si>
    <t>Medzinárodná konferencia - Jazyková kompetencia ako súčasť celoživotného vzdelávania</t>
  </si>
  <si>
    <t>11.</t>
  </si>
  <si>
    <t>Mgr. Andrea Valková</t>
  </si>
  <si>
    <t>Mapovanie drevín lesoparku Kamenný mlyn pri Trnave</t>
  </si>
  <si>
    <r>
      <t>Katalóg k výstave</t>
    </r>
    <r>
      <rPr>
        <i/>
        <sz val="11"/>
        <rFont val="Times New Roman"/>
        <family val="1"/>
      </rPr>
      <t xml:space="preserve"> Batik</t>
    </r>
    <r>
      <rPr>
        <sz val="11"/>
        <rFont val="Times New Roman"/>
        <family val="1"/>
      </rPr>
      <t xml:space="preserve"> v Západnom krídle Trnavskej radnice</t>
    </r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</si>
</sst>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[$-41B]d\.\ mmmm\ yyyy"/>
    <numFmt numFmtId="174" formatCode="0.0%"/>
    <numFmt numFmtId="175" formatCode="0.000%"/>
    <numFmt numFmtId="176" formatCode="#,##0.00\ &quot;€&quot;"/>
  </numFmts>
  <fonts count="3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1.5"/>
      <name val="Times New Roman"/>
      <family val="1"/>
    </font>
    <font>
      <sz val="48"/>
      <name val="Times New Roman"/>
      <family val="1"/>
    </font>
    <font>
      <b/>
      <sz val="11.5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Arial"/>
      <family val="0"/>
    </font>
    <font>
      <b/>
      <sz val="14"/>
      <name val="Times New Roman"/>
      <family val="1"/>
    </font>
    <font>
      <sz val="12"/>
      <color indexed="8"/>
      <name val="Calibri"/>
      <family val="2"/>
    </font>
    <font>
      <i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medium"/>
      <bottom style="thin"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/>
      <right style="thin"/>
      <top>
        <color indexed="63"/>
      </top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medium"/>
      <top style="medium"/>
      <bottom style="thin"/>
    </border>
    <border>
      <left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5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5" xfId="0" applyBorder="1" applyAlignment="1">
      <alignment vertical="center"/>
    </xf>
    <xf numFmtId="0" fontId="4" fillId="0" borderId="0" xfId="0" applyFont="1" applyAlignment="1">
      <alignment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/>
    </xf>
    <xf numFmtId="0" fontId="5" fillId="0" borderId="0" xfId="0" applyFont="1" applyAlignment="1">
      <alignment vertical="center" wrapText="1"/>
    </xf>
    <xf numFmtId="0" fontId="6" fillId="15" borderId="10" xfId="0" applyFont="1" applyFill="1" applyBorder="1" applyAlignment="1">
      <alignment/>
    </xf>
    <xf numFmtId="0" fontId="0" fillId="15" borderId="10" xfId="0" applyFill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15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15" borderId="12" xfId="0" applyFill="1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0" fillId="15" borderId="10" xfId="0" applyFill="1" applyBorder="1" applyAlignment="1">
      <alignment horizontal="center"/>
    </xf>
    <xf numFmtId="0" fontId="0" fillId="15" borderId="14" xfId="0" applyFill="1" applyBorder="1" applyAlignment="1">
      <alignment horizontal="center"/>
    </xf>
    <xf numFmtId="0" fontId="0" fillId="15" borderId="11" xfId="0" applyFont="1" applyFill="1" applyBorder="1" applyAlignment="1">
      <alignment vertical="center" wrapText="1"/>
    </xf>
    <xf numFmtId="0" fontId="0" fillId="15" borderId="13" xfId="0" applyFont="1" applyFill="1" applyBorder="1" applyAlignment="1">
      <alignment vertical="center" wrapText="1"/>
    </xf>
    <xf numFmtId="0" fontId="0" fillId="15" borderId="12" xfId="0" applyFont="1" applyFill="1" applyBorder="1" applyAlignment="1">
      <alignment vertical="center" wrapText="1"/>
    </xf>
    <xf numFmtId="0" fontId="0" fillId="15" borderId="10" xfId="0" applyFont="1" applyFill="1" applyBorder="1" applyAlignment="1">
      <alignment horizontal="center" vertical="center" wrapText="1"/>
    </xf>
    <xf numFmtId="172" fontId="6" fillId="15" borderId="12" xfId="0" applyNumberFormat="1" applyFont="1" applyFill="1" applyBorder="1" applyAlignment="1">
      <alignment/>
    </xf>
    <xf numFmtId="172" fontId="6" fillId="15" borderId="10" xfId="0" applyNumberFormat="1" applyFont="1" applyFill="1" applyBorder="1" applyAlignment="1">
      <alignment/>
    </xf>
    <xf numFmtId="172" fontId="0" fillId="15" borderId="12" xfId="0" applyNumberFormat="1" applyFill="1" applyBorder="1" applyAlignment="1">
      <alignment/>
    </xf>
    <xf numFmtId="172" fontId="0" fillId="15" borderId="10" xfId="0" applyNumberFormat="1" applyFill="1" applyBorder="1" applyAlignment="1">
      <alignment/>
    </xf>
    <xf numFmtId="0" fontId="0" fillId="15" borderId="11" xfId="0" applyFont="1" applyFill="1" applyBorder="1" applyAlignment="1">
      <alignment/>
    </xf>
    <xf numFmtId="0" fontId="0" fillId="15" borderId="11" xfId="0" applyFill="1" applyBorder="1" applyAlignment="1">
      <alignment horizontal="center"/>
    </xf>
    <xf numFmtId="0" fontId="0" fillId="15" borderId="11" xfId="0" applyFill="1" applyBorder="1" applyAlignment="1">
      <alignment/>
    </xf>
    <xf numFmtId="0" fontId="0" fillId="15" borderId="10" xfId="0" applyFont="1" applyFill="1" applyBorder="1" applyAlignment="1">
      <alignment wrapText="1"/>
    </xf>
    <xf numFmtId="0" fontId="0" fillId="15" borderId="12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1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9" fontId="0" fillId="0" borderId="12" xfId="0" applyNumberFormat="1" applyBorder="1" applyAlignment="1">
      <alignment/>
    </xf>
    <xf numFmtId="9" fontId="0" fillId="0" borderId="12" xfId="0" applyNumberFormat="1" applyFill="1" applyBorder="1" applyAlignment="1">
      <alignment/>
    </xf>
    <xf numFmtId="9" fontId="0" fillId="0" borderId="10" xfId="0" applyNumberFormat="1" applyBorder="1" applyAlignment="1">
      <alignment/>
    </xf>
    <xf numFmtId="0" fontId="0" fillId="0" borderId="10" xfId="44" applyBorder="1">
      <alignment/>
      <protection/>
    </xf>
    <xf numFmtId="0" fontId="11" fillId="0" borderId="12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9" fillId="0" borderId="12" xfId="0" applyFont="1" applyBorder="1" applyAlignment="1">
      <alignment/>
    </xf>
    <xf numFmtId="0" fontId="29" fillId="0" borderId="12" xfId="0" applyFont="1" applyBorder="1" applyAlignment="1">
      <alignment horizontal="center"/>
    </xf>
    <xf numFmtId="0" fontId="30" fillId="24" borderId="0" xfId="0" applyFont="1" applyFill="1" applyBorder="1" applyAlignment="1">
      <alignment/>
    </xf>
    <xf numFmtId="172" fontId="6" fillId="24" borderId="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distributed"/>
    </xf>
    <xf numFmtId="0" fontId="0" fillId="0" borderId="10" xfId="0" applyFont="1" applyFill="1" applyBorder="1" applyAlignment="1">
      <alignment horizontal="center" wrapText="1"/>
    </xf>
    <xf numFmtId="0" fontId="30" fillId="24" borderId="27" xfId="0" applyFont="1" applyFill="1" applyBorder="1" applyAlignment="1">
      <alignment horizontal="center" vertical="center" wrapText="1"/>
    </xf>
    <xf numFmtId="0" fontId="30" fillId="24" borderId="27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31" fillId="0" borderId="0" xfId="0" applyFont="1" applyAlignment="1">
      <alignment/>
    </xf>
    <xf numFmtId="0" fontId="10" fillId="0" borderId="10" xfId="0" applyFont="1" applyBorder="1" applyAlignment="1">
      <alignment horizontal="left" vertical="center" wrapText="1"/>
    </xf>
    <xf numFmtId="0" fontId="10" fillId="0" borderId="10" xfId="44" applyFont="1" applyBorder="1" applyAlignment="1">
      <alignment horizontal="left" vertical="center" wrapText="1"/>
      <protection/>
    </xf>
    <xf numFmtId="0" fontId="10" fillId="0" borderId="10" xfId="44" applyFont="1" applyBorder="1" applyAlignment="1">
      <alignment horizontal="center" vertical="center" wrapText="1"/>
      <protection/>
    </xf>
    <xf numFmtId="0" fontId="10" fillId="0" borderId="12" xfId="44" applyFont="1" applyBorder="1" applyAlignment="1">
      <alignment horizontal="left" vertical="center" wrapText="1"/>
      <protection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wrapText="1"/>
    </xf>
    <xf numFmtId="0" fontId="31" fillId="0" borderId="13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wrapText="1"/>
    </xf>
    <xf numFmtId="0" fontId="10" fillId="0" borderId="12" xfId="0" applyFont="1" applyBorder="1" applyAlignment="1">
      <alignment horizontal="left" vertical="center"/>
    </xf>
    <xf numFmtId="49" fontId="10" fillId="0" borderId="10" xfId="44" applyNumberFormat="1" applyFont="1" applyFill="1" applyBorder="1" applyAlignment="1">
      <alignment horizontal="left" vertical="center" wrapText="1"/>
      <protection/>
    </xf>
    <xf numFmtId="0" fontId="12" fillId="0" borderId="10" xfId="44" applyFont="1" applyBorder="1" applyAlignment="1">
      <alignment horizontal="left" vertical="center" wrapText="1"/>
      <protection/>
    </xf>
    <xf numFmtId="0" fontId="10" fillId="0" borderId="10" xfId="0" applyFont="1" applyBorder="1" applyAlignment="1">
      <alignment vertical="distributed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15" borderId="10" xfId="0" applyFill="1" applyBorder="1" applyAlignment="1">
      <alignment/>
    </xf>
    <xf numFmtId="0" fontId="0" fillId="15" borderId="10" xfId="0" applyFont="1" applyFill="1" applyBorder="1" applyAlignment="1">
      <alignment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vertical="center" wrapText="1"/>
    </xf>
    <xf numFmtId="0" fontId="10" fillId="0" borderId="29" xfId="0" applyFont="1" applyBorder="1" applyAlignment="1">
      <alignment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3" fontId="10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10" fillId="0" borderId="30" xfId="0" applyFont="1" applyBorder="1" applyAlignment="1">
      <alignment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0" xfId="0" applyFont="1" applyBorder="1" applyAlignment="1">
      <alignment vertical="center" wrapText="1"/>
    </xf>
    <xf numFmtId="3" fontId="10" fillId="0" borderId="30" xfId="0" applyNumberFormat="1" applyFont="1" applyBorder="1" applyAlignment="1">
      <alignment vertical="center" wrapText="1"/>
    </xf>
    <xf numFmtId="0" fontId="0" fillId="0" borderId="30" xfId="0" applyBorder="1" applyAlignment="1">
      <alignment wrapText="1"/>
    </xf>
    <xf numFmtId="3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vertical="center" wrapText="1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10" fillId="24" borderId="12" xfId="0" applyFont="1" applyFill="1" applyBorder="1" applyAlignment="1">
      <alignment horizontal="center" vertical="center" wrapText="1"/>
    </xf>
    <xf numFmtId="3" fontId="10" fillId="0" borderId="12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3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24" borderId="10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vertical="center"/>
    </xf>
    <xf numFmtId="0" fontId="10" fillId="0" borderId="10" xfId="0" applyFont="1" applyBorder="1" applyAlignment="1">
      <alignment/>
    </xf>
    <xf numFmtId="0" fontId="10" fillId="0" borderId="29" xfId="0" applyFont="1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10" fillId="0" borderId="29" xfId="0" applyFont="1" applyBorder="1" applyAlignment="1">
      <alignment vertical="center" wrapText="1"/>
    </xf>
    <xf numFmtId="3" fontId="10" fillId="0" borderId="29" xfId="0" applyNumberFormat="1" applyFont="1" applyBorder="1" applyAlignment="1">
      <alignment vertical="center"/>
    </xf>
    <xf numFmtId="0" fontId="10" fillId="0" borderId="29" xfId="0" applyFont="1" applyBorder="1" applyAlignment="1">
      <alignment/>
    </xf>
    <xf numFmtId="0" fontId="10" fillId="0" borderId="12" xfId="0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/>
    </xf>
    <xf numFmtId="0" fontId="10" fillId="0" borderId="29" xfId="0" applyFont="1" applyBorder="1" applyAlignment="1">
      <alignment vertical="center"/>
    </xf>
    <xf numFmtId="0" fontId="10" fillId="0" borderId="32" xfId="0" applyFont="1" applyBorder="1" applyAlignment="1">
      <alignment vertical="center" wrapText="1"/>
    </xf>
    <xf numFmtId="3" fontId="10" fillId="0" borderId="12" xfId="0" applyNumberFormat="1" applyFont="1" applyBorder="1" applyAlignment="1">
      <alignment vertical="center"/>
    </xf>
    <xf numFmtId="0" fontId="10" fillId="0" borderId="33" xfId="0" applyFont="1" applyBorder="1" applyAlignment="1">
      <alignment vertical="center" wrapText="1"/>
    </xf>
    <xf numFmtId="0" fontId="10" fillId="0" borderId="33" xfId="0" applyFont="1" applyBorder="1" applyAlignment="1">
      <alignment vertical="center"/>
    </xf>
    <xf numFmtId="0" fontId="10" fillId="0" borderId="33" xfId="0" applyFont="1" applyBorder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0" fontId="0" fillId="0" borderId="34" xfId="0" applyBorder="1" applyAlignment="1">
      <alignment/>
    </xf>
    <xf numFmtId="0" fontId="10" fillId="0" borderId="29" xfId="0" applyFont="1" applyBorder="1" applyAlignment="1">
      <alignment horizontal="center" vertical="center"/>
    </xf>
    <xf numFmtId="0" fontId="10" fillId="0" borderId="35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3" fontId="10" fillId="24" borderId="29" xfId="0" applyNumberFormat="1" applyFont="1" applyFill="1" applyBorder="1" applyAlignment="1">
      <alignment vertical="center"/>
    </xf>
    <xf numFmtId="0" fontId="0" fillId="0" borderId="29" xfId="0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3" fontId="10" fillId="24" borderId="10" xfId="0" applyNumberFormat="1" applyFont="1" applyFill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0" fillId="0" borderId="33" xfId="0" applyBorder="1" applyAlignment="1">
      <alignment/>
    </xf>
    <xf numFmtId="0" fontId="10" fillId="0" borderId="10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10" xfId="0" applyFont="1" applyBorder="1" applyAlignment="1">
      <alignment wrapText="1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3" fontId="10" fillId="24" borderId="10" xfId="0" applyNumberFormat="1" applyFont="1" applyFill="1" applyBorder="1" applyAlignment="1">
      <alignment vertical="center"/>
    </xf>
    <xf numFmtId="0" fontId="10" fillId="0" borderId="33" xfId="0" applyFont="1" applyBorder="1" applyAlignment="1">
      <alignment vertical="center"/>
    </xf>
    <xf numFmtId="3" fontId="10" fillId="0" borderId="10" xfId="0" applyNumberFormat="1" applyFont="1" applyBorder="1" applyAlignment="1">
      <alignment vertical="center" wrapText="1"/>
    </xf>
    <xf numFmtId="0" fontId="10" fillId="24" borderId="10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/>
    </xf>
    <xf numFmtId="0" fontId="10" fillId="24" borderId="10" xfId="0" applyFont="1" applyFill="1" applyBorder="1" applyAlignment="1">
      <alignment vertical="center"/>
    </xf>
    <xf numFmtId="4" fontId="10" fillId="0" borderId="10" xfId="0" applyNumberFormat="1" applyFont="1" applyBorder="1" applyAlignment="1">
      <alignment vertical="center" wrapText="1"/>
    </xf>
    <xf numFmtId="17" fontId="10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vertical="center"/>
    </xf>
    <xf numFmtId="0" fontId="0" fillId="17" borderId="10" xfId="0" applyFill="1" applyBorder="1" applyAlignment="1">
      <alignment horizontal="center" vertical="center"/>
    </xf>
    <xf numFmtId="0" fontId="0" fillId="17" borderId="33" xfId="0" applyFill="1" applyBorder="1" applyAlignment="1">
      <alignment vertical="center"/>
    </xf>
    <xf numFmtId="0" fontId="0" fillId="17" borderId="10" xfId="0" applyFill="1" applyBorder="1" applyAlignment="1">
      <alignment vertical="center"/>
    </xf>
    <xf numFmtId="3" fontId="0" fillId="17" borderId="10" xfId="0" applyNumberFormat="1" applyFill="1" applyBorder="1" applyAlignment="1">
      <alignment vertical="center"/>
    </xf>
    <xf numFmtId="0" fontId="0" fillId="17" borderId="34" xfId="0" applyFill="1" applyBorder="1" applyAlignment="1">
      <alignment/>
    </xf>
    <xf numFmtId="0" fontId="0" fillId="17" borderId="0" xfId="0" applyFill="1" applyAlignment="1">
      <alignment/>
    </xf>
    <xf numFmtId="0" fontId="10" fillId="0" borderId="12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0" fillId="0" borderId="18" xfId="0" applyFont="1" applyBorder="1" applyAlignment="1">
      <alignment horizontal="center" wrapText="1"/>
    </xf>
    <xf numFmtId="14" fontId="0" fillId="0" borderId="12" xfId="0" applyNumberFormat="1" applyBorder="1" applyAlignment="1">
      <alignment/>
    </xf>
    <xf numFmtId="0" fontId="0" fillId="0" borderId="12" xfId="0" applyBorder="1" applyAlignment="1">
      <alignment vertical="center"/>
    </xf>
    <xf numFmtId="14" fontId="0" fillId="0" borderId="12" xfId="0" applyNumberFormat="1" applyBorder="1" applyAlignment="1">
      <alignment vertic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14" fontId="0" fillId="0" borderId="12" xfId="0" applyNumberFormat="1" applyFill="1" applyBorder="1" applyAlignment="1">
      <alignment horizontal="center"/>
    </xf>
    <xf numFmtId="14" fontId="0" fillId="24" borderId="12" xfId="0" applyNumberFormat="1" applyFill="1" applyBorder="1" applyAlignment="1">
      <alignment horizont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wrapText="1"/>
    </xf>
    <xf numFmtId="14" fontId="0" fillId="0" borderId="12" xfId="0" applyNumberFormat="1" applyFill="1" applyBorder="1" applyAlignment="1">
      <alignment horizontal="center" vertical="center" wrapText="1"/>
    </xf>
    <xf numFmtId="14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36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7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2" xfId="0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8" xfId="0" applyBorder="1" applyAlignment="1">
      <alignment/>
    </xf>
    <xf numFmtId="1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14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3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15" borderId="10" xfId="0" applyFont="1" applyFill="1" applyBorder="1" applyAlignment="1">
      <alignment/>
    </xf>
    <xf numFmtId="0" fontId="0" fillId="15" borderId="10" xfId="0" applyFill="1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 wrapText="1"/>
    </xf>
    <xf numFmtId="0" fontId="0" fillId="15" borderId="12" xfId="0" applyFont="1" applyFill="1" applyBorder="1" applyAlignment="1">
      <alignment horizontal="center" vertical="center" wrapText="1"/>
    </xf>
    <xf numFmtId="0" fontId="0" fillId="15" borderId="10" xfId="0" applyFill="1" applyBorder="1" applyAlignment="1">
      <alignment horizontal="center"/>
    </xf>
    <xf numFmtId="0" fontId="0" fillId="0" borderId="12" xfId="45" applyFont="1" applyBorder="1" applyAlignment="1">
      <alignment wrapText="1"/>
      <protection/>
    </xf>
    <xf numFmtId="0" fontId="0" fillId="0" borderId="12" xfId="45" applyBorder="1" applyAlignment="1">
      <alignment wrapText="1"/>
      <protection/>
    </xf>
    <xf numFmtId="2" fontId="0" fillId="0" borderId="12" xfId="45" applyNumberFormat="1" applyBorder="1" applyAlignment="1">
      <alignment wrapText="1"/>
      <protection/>
    </xf>
    <xf numFmtId="0" fontId="0" fillId="0" borderId="10" xfId="45" applyFont="1" applyBorder="1">
      <alignment/>
      <protection/>
    </xf>
    <xf numFmtId="0" fontId="0" fillId="0" borderId="10" xfId="45" applyBorder="1">
      <alignment/>
      <protection/>
    </xf>
    <xf numFmtId="2" fontId="0" fillId="0" borderId="10" xfId="45" applyNumberFormat="1" applyBorder="1">
      <alignment/>
      <protection/>
    </xf>
    <xf numFmtId="0" fontId="0" fillId="0" borderId="29" xfId="45" applyBorder="1" applyAlignment="1">
      <alignment horizontal="left" vertical="center" wrapText="1"/>
      <protection/>
    </xf>
    <xf numFmtId="0" fontId="0" fillId="0" borderId="29" xfId="45" applyBorder="1" applyAlignment="1">
      <alignment horizontal="right" vertical="center" wrapText="1"/>
      <protection/>
    </xf>
    <xf numFmtId="2" fontId="0" fillId="0" borderId="10" xfId="45" applyNumberFormat="1" applyBorder="1" applyAlignment="1">
      <alignment horizontal="right" vertical="center" wrapText="1"/>
      <protection/>
    </xf>
    <xf numFmtId="0" fontId="0" fillId="0" borderId="10" xfId="45" applyBorder="1" applyAlignment="1">
      <alignment horizontal="right" vertical="center" wrapText="1"/>
      <protection/>
    </xf>
    <xf numFmtId="0" fontId="32" fillId="0" borderId="10" xfId="0" applyFont="1" applyBorder="1" applyAlignment="1">
      <alignment horizontal="right" vertical="center" wrapText="1"/>
    </xf>
    <xf numFmtId="0" fontId="0" fillId="0" borderId="10" xfId="45" applyBorder="1" applyAlignment="1">
      <alignment horizontal="left" wrapText="1"/>
      <protection/>
    </xf>
    <xf numFmtId="0" fontId="0" fillId="0" borderId="10" xfId="45" applyBorder="1" applyAlignment="1">
      <alignment wrapText="1"/>
      <protection/>
    </xf>
    <xf numFmtId="2" fontId="0" fillId="0" borderId="10" xfId="45" applyNumberFormat="1" applyBorder="1" applyAlignment="1">
      <alignment horizontal="right" wrapText="1"/>
      <protection/>
    </xf>
    <xf numFmtId="0" fontId="0" fillId="0" borderId="10" xfId="45" applyBorder="1" applyAlignment="1">
      <alignment horizontal="right" wrapText="1"/>
      <protection/>
    </xf>
    <xf numFmtId="2" fontId="0" fillId="0" borderId="10" xfId="45" applyNumberFormat="1" applyBorder="1" applyAlignment="1">
      <alignment wrapText="1"/>
      <protection/>
    </xf>
    <xf numFmtId="0" fontId="0" fillId="0" borderId="12" xfId="45" applyFont="1" applyBorder="1">
      <alignment/>
      <protection/>
    </xf>
    <xf numFmtId="0" fontId="0" fillId="0" borderId="10" xfId="45" applyBorder="1" applyAlignment="1">
      <alignment horizontal="left"/>
      <protection/>
    </xf>
    <xf numFmtId="2" fontId="0" fillId="0" borderId="10" xfId="45" applyNumberFormat="1" applyBorder="1" applyAlignment="1">
      <alignment horizontal="right"/>
      <protection/>
    </xf>
    <xf numFmtId="0" fontId="0" fillId="0" borderId="10" xfId="45" applyBorder="1" applyAlignment="1">
      <alignment horizontal="right"/>
      <protection/>
    </xf>
    <xf numFmtId="0" fontId="0" fillId="0" borderId="12" xfId="45" applyBorder="1">
      <alignment/>
      <protection/>
    </xf>
    <xf numFmtId="0" fontId="2" fillId="15" borderId="10" xfId="45" applyFont="1" applyFill="1" applyBorder="1">
      <alignment/>
      <protection/>
    </xf>
    <xf numFmtId="2" fontId="2" fillId="15" borderId="10" xfId="45" applyNumberFormat="1" applyFont="1" applyFill="1" applyBorder="1">
      <alignment/>
      <protection/>
    </xf>
    <xf numFmtId="0" fontId="0" fillId="0" borderId="0" xfId="45" applyBorder="1">
      <alignment/>
      <protection/>
    </xf>
    <xf numFmtId="2" fontId="0" fillId="0" borderId="0" xfId="45" applyNumberFormat="1" applyBorder="1">
      <alignment/>
      <protection/>
    </xf>
    <xf numFmtId="0" fontId="2" fillId="15" borderId="10" xfId="45" applyFont="1" applyFill="1" applyBorder="1">
      <alignment/>
      <protection/>
    </xf>
    <xf numFmtId="2" fontId="2" fillId="15" borderId="10" xfId="45" applyNumberFormat="1" applyFont="1" applyFill="1" applyBorder="1">
      <alignment/>
      <protection/>
    </xf>
    <xf numFmtId="1" fontId="2" fillId="15" borderId="10" xfId="45" applyNumberFormat="1" applyFont="1" applyFill="1" applyBorder="1">
      <alignment/>
      <protection/>
    </xf>
    <xf numFmtId="172" fontId="0" fillId="15" borderId="10" xfId="45" applyNumberFormat="1" applyFill="1" applyBorder="1">
      <alignment/>
      <protection/>
    </xf>
    <xf numFmtId="2" fontId="0" fillId="15" borderId="10" xfId="45" applyNumberFormat="1" applyFill="1" applyBorder="1">
      <alignment/>
      <protection/>
    </xf>
    <xf numFmtId="0" fontId="2" fillId="0" borderId="0" xfId="45" applyFont="1" applyBorder="1">
      <alignment/>
      <protection/>
    </xf>
    <xf numFmtId="0" fontId="0" fillId="0" borderId="0" xfId="45" applyFill="1" applyAlignment="1">
      <alignment wrapText="1"/>
      <protection/>
    </xf>
    <xf numFmtId="0" fontId="0" fillId="0" borderId="23" xfId="45" applyFill="1" applyBorder="1" applyAlignment="1">
      <alignment horizontal="center" vertical="center" wrapText="1"/>
      <protection/>
    </xf>
    <xf numFmtId="0" fontId="0" fillId="0" borderId="28" xfId="45" applyFill="1" applyBorder="1" applyAlignment="1">
      <alignment horizontal="center" vertical="center" wrapText="1"/>
      <protection/>
    </xf>
    <xf numFmtId="0" fontId="0" fillId="0" borderId="33" xfId="45" applyBorder="1" applyAlignment="1">
      <alignment wrapText="1"/>
      <protection/>
    </xf>
    <xf numFmtId="0" fontId="0" fillId="0" borderId="12" xfId="45" applyFill="1" applyBorder="1" applyAlignment="1">
      <alignment wrapText="1"/>
      <protection/>
    </xf>
    <xf numFmtId="0" fontId="0" fillId="0" borderId="10" xfId="45" applyFill="1" applyBorder="1" applyAlignment="1">
      <alignment wrapText="1"/>
      <protection/>
    </xf>
    <xf numFmtId="0" fontId="0" fillId="0" borderId="10" xfId="45" applyFill="1" applyBorder="1">
      <alignment/>
      <protection/>
    </xf>
    <xf numFmtId="0" fontId="0" fillId="0" borderId="35" xfId="45" applyBorder="1" applyAlignment="1">
      <alignment horizontal="left"/>
      <protection/>
    </xf>
    <xf numFmtId="0" fontId="0" fillId="15" borderId="10" xfId="45" applyFill="1" applyBorder="1" applyAlignment="1">
      <alignment horizontal="center"/>
      <protection/>
    </xf>
    <xf numFmtId="0" fontId="0" fillId="0" borderId="0" xfId="45" applyFill="1" applyBorder="1">
      <alignment/>
      <protection/>
    </xf>
    <xf numFmtId="0" fontId="0" fillId="0" borderId="0" xfId="45" applyFill="1">
      <alignment/>
      <protection/>
    </xf>
    <xf numFmtId="0" fontId="2" fillId="0" borderId="13" xfId="45" applyFont="1" applyFill="1" applyBorder="1">
      <alignment/>
      <protection/>
    </xf>
    <xf numFmtId="0" fontId="0" fillId="0" borderId="33" xfId="45" applyFont="1" applyBorder="1" applyAlignment="1">
      <alignment wrapText="1"/>
      <protection/>
    </xf>
    <xf numFmtId="0" fontId="0" fillId="0" borderId="10" xfId="45" applyFont="1" applyBorder="1" applyAlignment="1">
      <alignment wrapText="1"/>
      <protection/>
    </xf>
    <xf numFmtId="0" fontId="0" fillId="0" borderId="33" xfId="45" applyFont="1" applyBorder="1">
      <alignment/>
      <protection/>
    </xf>
    <xf numFmtId="0" fontId="0" fillId="0" borderId="10" xfId="45" applyFont="1" applyBorder="1">
      <alignment/>
      <protection/>
    </xf>
    <xf numFmtId="0" fontId="0" fillId="0" borderId="12" xfId="45" applyFont="1" applyFill="1" applyBorder="1" applyAlignment="1">
      <alignment horizontal="center" vertical="center" wrapText="1"/>
      <protection/>
    </xf>
    <xf numFmtId="0" fontId="0" fillId="0" borderId="12" xfId="45" applyFill="1" applyBorder="1" applyAlignment="1">
      <alignment horizontal="center" vertical="center" wrapText="1"/>
      <protection/>
    </xf>
    <xf numFmtId="0" fontId="0" fillId="0" borderId="10" xfId="45" applyFont="1" applyFill="1" applyBorder="1" applyAlignment="1">
      <alignment wrapText="1"/>
      <protection/>
    </xf>
    <xf numFmtId="0" fontId="0" fillId="0" borderId="10" xfId="45" applyFont="1" applyFill="1" applyBorder="1">
      <alignment/>
      <protection/>
    </xf>
    <xf numFmtId="0" fontId="0" fillId="15" borderId="35" xfId="45" applyFont="1" applyFill="1" applyBorder="1" applyAlignment="1">
      <alignment horizontal="left"/>
      <protection/>
    </xf>
    <xf numFmtId="0" fontId="2" fillId="15" borderId="33" xfId="45" applyFont="1" applyFill="1" applyBorder="1">
      <alignment/>
      <protection/>
    </xf>
    <xf numFmtId="0" fontId="2" fillId="15" borderId="10" xfId="45" applyFont="1" applyFill="1" applyBorder="1">
      <alignment/>
      <protection/>
    </xf>
    <xf numFmtId="0" fontId="2" fillId="15" borderId="10" xfId="45" applyFont="1" applyFill="1" applyBorder="1" applyAlignment="1">
      <alignment wrapText="1"/>
      <protection/>
    </xf>
    <xf numFmtId="0" fontId="0" fillId="15" borderId="10" xfId="45" applyFont="1" applyFill="1" applyBorder="1">
      <alignment/>
      <protection/>
    </xf>
    <xf numFmtId="0" fontId="0" fillId="15" borderId="10" xfId="45" applyFill="1" applyBorder="1">
      <alignment/>
      <protection/>
    </xf>
    <xf numFmtId="0" fontId="0" fillId="15" borderId="10" xfId="45" applyFont="1" applyFill="1" applyBorder="1">
      <alignment/>
      <protection/>
    </xf>
    <xf numFmtId="0" fontId="0" fillId="15" borderId="10" xfId="45" applyFill="1" applyBorder="1">
      <alignment/>
      <protection/>
    </xf>
    <xf numFmtId="0" fontId="0" fillId="0" borderId="0" xfId="45" applyFont="1" applyFill="1" applyBorder="1">
      <alignment/>
      <protection/>
    </xf>
    <xf numFmtId="0" fontId="0" fillId="15" borderId="10" xfId="45" applyFont="1" applyFill="1" applyBorder="1" applyAlignment="1">
      <alignment horizontal="left" vertical="center"/>
      <protection/>
    </xf>
    <xf numFmtId="172" fontId="2" fillId="15" borderId="10" xfId="45" applyNumberFormat="1" applyFont="1" applyFill="1" applyBorder="1">
      <alignment/>
      <protection/>
    </xf>
    <xf numFmtId="0" fontId="4" fillId="0" borderId="0" xfId="0" applyFont="1" applyAlignment="1">
      <alignment horizontal="center"/>
    </xf>
    <xf numFmtId="0" fontId="0" fillId="15" borderId="10" xfId="47" applyNumberFormat="1" applyFont="1" applyFill="1" applyBorder="1" applyAlignment="1">
      <alignment horizontal="center"/>
    </xf>
    <xf numFmtId="172" fontId="0" fillId="15" borderId="10" xfId="0" applyNumberFormat="1" applyFill="1" applyBorder="1" applyAlignment="1">
      <alignment horizontal="center"/>
    </xf>
    <xf numFmtId="172" fontId="0" fillId="15" borderId="10" xfId="47" applyNumberFormat="1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0" fillId="0" borderId="10" xfId="44" applyBorder="1" applyAlignment="1">
      <alignment horizontal="right"/>
      <protection/>
    </xf>
    <xf numFmtId="0" fontId="0" fillId="0" borderId="10" xfId="0" applyBorder="1" applyAlignment="1">
      <alignment horizontal="right"/>
    </xf>
    <xf numFmtId="0" fontId="0" fillId="0" borderId="37" xfId="0" applyBorder="1" applyAlignment="1">
      <alignment horizontal="center" wrapText="1"/>
    </xf>
    <xf numFmtId="172" fontId="0" fillId="15" borderId="1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10" xfId="46" applyBorder="1">
      <alignment/>
      <protection/>
    </xf>
    <xf numFmtId="2" fontId="0" fillId="15" borderId="10" xfId="0" applyNumberFormat="1" applyFill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44" applyFont="1" applyBorder="1">
      <alignment/>
      <protection/>
    </xf>
    <xf numFmtId="0" fontId="29" fillId="0" borderId="10" xfId="0" applyFont="1" applyBorder="1" applyAlignment="1">
      <alignment wrapText="1"/>
    </xf>
    <xf numFmtId="0" fontId="29" fillId="0" borderId="10" xfId="0" applyFont="1" applyBorder="1" applyAlignment="1">
      <alignment/>
    </xf>
    <xf numFmtId="14" fontId="0" fillId="0" borderId="10" xfId="44" applyNumberFormat="1" applyFont="1" applyBorder="1" applyAlignment="1">
      <alignment horizontal="left"/>
      <protection/>
    </xf>
    <xf numFmtId="0" fontId="29" fillId="24" borderId="10" xfId="44" applyFont="1" applyFill="1" applyBorder="1">
      <alignment/>
      <protection/>
    </xf>
    <xf numFmtId="0" fontId="29" fillId="24" borderId="10" xfId="0" applyFont="1" applyFill="1" applyBorder="1" applyAlignment="1">
      <alignment/>
    </xf>
    <xf numFmtId="0" fontId="0" fillId="24" borderId="10" xfId="44" applyFont="1" applyFill="1" applyBorder="1">
      <alignment/>
      <protection/>
    </xf>
    <xf numFmtId="0" fontId="0" fillId="0" borderId="10" xfId="44" applyFont="1" applyBorder="1" applyAlignment="1">
      <alignment wrapText="1"/>
      <protection/>
    </xf>
    <xf numFmtId="14" fontId="29" fillId="0" borderId="10" xfId="0" applyNumberFormat="1" applyFont="1" applyBorder="1" applyAlignment="1">
      <alignment horizontal="left"/>
    </xf>
    <xf numFmtId="0" fontId="0" fillId="0" borderId="10" xfId="44" applyFont="1" applyBorder="1" applyAlignment="1">
      <alignment horizontal="left"/>
      <protection/>
    </xf>
    <xf numFmtId="0" fontId="0" fillId="0" borderId="10" xfId="44" applyFont="1" applyBorder="1" applyAlignment="1">
      <alignment horizontal="left" wrapText="1"/>
      <protection/>
    </xf>
    <xf numFmtId="0" fontId="0" fillId="24" borderId="10" xfId="44" applyFont="1" applyFill="1" applyBorder="1" applyAlignment="1">
      <alignment wrapText="1"/>
      <protection/>
    </xf>
    <xf numFmtId="0" fontId="29" fillId="24" borderId="10" xfId="0" applyFont="1" applyFill="1" applyBorder="1" applyAlignment="1">
      <alignment wrapText="1"/>
    </xf>
    <xf numFmtId="0" fontId="29" fillId="0" borderId="10" xfId="44" applyFont="1" applyFill="1" applyBorder="1">
      <alignment/>
      <protection/>
    </xf>
    <xf numFmtId="0" fontId="0" fillId="24" borderId="10" xfId="44" applyFont="1" applyFill="1" applyBorder="1" applyAlignment="1">
      <alignment horizontal="left"/>
      <protection/>
    </xf>
    <xf numFmtId="14" fontId="0" fillId="24" borderId="10" xfId="44" applyNumberFormat="1" applyFont="1" applyFill="1" applyBorder="1" applyAlignment="1">
      <alignment horizontal="left"/>
      <protection/>
    </xf>
    <xf numFmtId="0" fontId="0" fillId="0" borderId="10" xfId="44" applyBorder="1" applyAlignment="1">
      <alignment wrapText="1"/>
      <protection/>
    </xf>
    <xf numFmtId="0" fontId="0" fillId="0" borderId="10" xfId="44" applyFont="1" applyBorder="1" applyAlignment="1">
      <alignment vertical="top"/>
      <protection/>
    </xf>
    <xf numFmtId="0" fontId="29" fillId="0" borderId="10" xfId="0" applyFont="1" applyBorder="1" applyAlignment="1">
      <alignment vertical="top"/>
    </xf>
    <xf numFmtId="0" fontId="29" fillId="0" borderId="10" xfId="0" applyFont="1" applyBorder="1" applyAlignment="1">
      <alignment vertical="top" wrapText="1"/>
    </xf>
    <xf numFmtId="0" fontId="29" fillId="24" borderId="10" xfId="44" applyFont="1" applyFill="1" applyBorder="1" applyAlignment="1">
      <alignment vertical="top"/>
      <protection/>
    </xf>
    <xf numFmtId="0" fontId="29" fillId="24" borderId="10" xfId="0" applyFont="1" applyFill="1" applyBorder="1" applyAlignment="1">
      <alignment vertical="top"/>
    </xf>
    <xf numFmtId="14" fontId="29" fillId="0" borderId="10" xfId="0" applyNumberFormat="1" applyFont="1" applyBorder="1" applyAlignment="1">
      <alignment horizontal="left" vertical="top"/>
    </xf>
    <xf numFmtId="0" fontId="0" fillId="0" borderId="10" xfId="44" applyBorder="1" applyAlignment="1">
      <alignment vertical="top"/>
      <protection/>
    </xf>
    <xf numFmtId="0" fontId="0" fillId="0" borderId="0" xfId="0" applyAlignment="1">
      <alignment vertical="top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176" fontId="0" fillId="0" borderId="10" xfId="0" applyNumberForma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11" fillId="0" borderId="12" xfId="0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right" vertical="top"/>
    </xf>
    <xf numFmtId="0" fontId="11" fillId="0" borderId="10" xfId="0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right" vertical="top"/>
    </xf>
    <xf numFmtId="0" fontId="11" fillId="0" borderId="12" xfId="0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0" fillId="15" borderId="17" xfId="0" applyFont="1" applyFill="1" applyBorder="1" applyAlignment="1">
      <alignment horizontal="center"/>
    </xf>
    <xf numFmtId="0" fontId="0" fillId="15" borderId="14" xfId="0" applyFont="1" applyFill="1" applyBorder="1" applyAlignment="1">
      <alignment horizontal="center"/>
    </xf>
    <xf numFmtId="0" fontId="0" fillId="15" borderId="11" xfId="0" applyFont="1" applyFill="1" applyBorder="1" applyAlignment="1">
      <alignment vertical="center" wrapText="1"/>
    </xf>
    <xf numFmtId="0" fontId="0" fillId="15" borderId="13" xfId="0" applyFont="1" applyFill="1" applyBorder="1" applyAlignment="1">
      <alignment vertical="center" wrapText="1"/>
    </xf>
    <xf numFmtId="0" fontId="0" fillId="15" borderId="12" xfId="0" applyFont="1" applyFill="1" applyBorder="1" applyAlignment="1">
      <alignment vertical="center" wrapText="1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2" fillId="0" borderId="2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4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0" fillId="0" borderId="40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5" fillId="0" borderId="0" xfId="0" applyFont="1" applyAlignment="1">
      <alignment horizontal="center" wrapText="1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33" fillId="0" borderId="0" xfId="45" applyFont="1" applyFill="1" applyAlignment="1">
      <alignment horizontal="center" vertical="center" wrapText="1"/>
      <protection/>
    </xf>
    <xf numFmtId="0" fontId="33" fillId="0" borderId="0" xfId="45" applyFont="1" applyFill="1" applyAlignment="1">
      <alignment vertical="center" wrapText="1"/>
      <protection/>
    </xf>
    <xf numFmtId="0" fontId="0" fillId="0" borderId="53" xfId="45" applyFont="1" applyFill="1" applyBorder="1" applyAlignment="1">
      <alignment horizontal="center" vertical="center" wrapText="1"/>
      <protection/>
    </xf>
    <xf numFmtId="0" fontId="0" fillId="0" borderId="54" xfId="45" applyFill="1" applyBorder="1" applyAlignment="1">
      <alignment horizontal="center" vertical="center" wrapText="1"/>
      <protection/>
    </xf>
    <xf numFmtId="0" fontId="0" fillId="0" borderId="16" xfId="45" applyFont="1" applyFill="1" applyBorder="1" applyAlignment="1">
      <alignment horizontal="center" wrapText="1"/>
      <protection/>
    </xf>
    <xf numFmtId="0" fontId="0" fillId="0" borderId="23" xfId="45" applyFill="1" applyBorder="1" applyAlignment="1">
      <alignment horizontal="center" wrapText="1"/>
      <protection/>
    </xf>
    <xf numFmtId="0" fontId="0" fillId="0" borderId="40" xfId="45" applyFont="1" applyFill="1" applyBorder="1" applyAlignment="1">
      <alignment horizontal="center" wrapText="1"/>
      <protection/>
    </xf>
    <xf numFmtId="0" fontId="0" fillId="0" borderId="21" xfId="45" applyFill="1" applyBorder="1" applyAlignment="1">
      <alignment horizontal="center" wrapText="1"/>
      <protection/>
    </xf>
    <xf numFmtId="0" fontId="0" fillId="0" borderId="26" xfId="45" applyFill="1" applyBorder="1" applyAlignment="1">
      <alignment horizontal="center" wrapText="1"/>
      <protection/>
    </xf>
    <xf numFmtId="0" fontId="0" fillId="0" borderId="43" xfId="45" applyFont="1" applyFill="1" applyBorder="1" applyAlignment="1">
      <alignment horizontal="center" wrapText="1"/>
      <protection/>
    </xf>
    <xf numFmtId="0" fontId="0" fillId="0" borderId="44" xfId="45" applyFill="1" applyBorder="1" applyAlignment="1">
      <alignment horizontal="center" wrapText="1"/>
      <protection/>
    </xf>
    <xf numFmtId="0" fontId="0" fillId="0" borderId="55" xfId="45" applyFill="1" applyBorder="1" applyAlignment="1">
      <alignment horizontal="center" wrapText="1"/>
      <protection/>
    </xf>
    <xf numFmtId="0" fontId="0" fillId="0" borderId="45" xfId="45" applyFont="1" applyFill="1" applyBorder="1" applyAlignment="1">
      <alignment horizontal="center" vertical="center" wrapText="1"/>
      <protection/>
    </xf>
    <xf numFmtId="0" fontId="0" fillId="0" borderId="46" xfId="45" applyFill="1" applyBorder="1" applyAlignment="1">
      <alignment horizontal="center" vertical="center" wrapText="1"/>
      <protection/>
    </xf>
    <xf numFmtId="0" fontId="0" fillId="0" borderId="26" xfId="45" applyFont="1" applyFill="1" applyBorder="1" applyAlignment="1">
      <alignment horizontal="center" wrapText="1"/>
      <protection/>
    </xf>
    <xf numFmtId="0" fontId="0" fillId="0" borderId="56" xfId="45" applyFill="1" applyBorder="1" applyAlignment="1">
      <alignment horizontal="center" wrapText="1"/>
      <protection/>
    </xf>
    <xf numFmtId="0" fontId="33" fillId="0" borderId="0" xfId="0" applyFont="1" applyFill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0" fontId="0" fillId="0" borderId="3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0" fontId="4" fillId="0" borderId="0" xfId="0" applyFont="1" applyFill="1" applyBorder="1" applyAlignment="1">
      <alignment wrapText="1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normálne_Hárok1" xfId="45"/>
    <cellStyle name="normálne_Hárok1_1" xfId="46"/>
    <cellStyle name="Percent" xfId="47"/>
    <cellStyle name="Percentá 2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dxfs count="1">
    <dxf>
      <fill>
        <patternFill>
          <bgColor rgb="FF99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zoomScaleSheetLayoutView="100" zoomScalePageLayoutView="0" workbookViewId="0" topLeftCell="A1">
      <selection activeCell="A1" sqref="A1:I3"/>
    </sheetView>
  </sheetViews>
  <sheetFormatPr defaultColWidth="9.00390625" defaultRowHeight="15.75"/>
  <sheetData>
    <row r="1" spans="1:9" ht="120.75" customHeight="1">
      <c r="A1" s="449" t="s">
        <v>90</v>
      </c>
      <c r="B1" s="449"/>
      <c r="C1" s="449"/>
      <c r="D1" s="449"/>
      <c r="E1" s="449"/>
      <c r="F1" s="449"/>
      <c r="G1" s="449"/>
      <c r="H1" s="449"/>
      <c r="I1" s="449"/>
    </row>
    <row r="2" spans="1:9" ht="61.5" customHeight="1">
      <c r="A2" s="449"/>
      <c r="B2" s="449"/>
      <c r="C2" s="449"/>
      <c r="D2" s="449"/>
      <c r="E2" s="449"/>
      <c r="F2" s="449"/>
      <c r="G2" s="449"/>
      <c r="H2" s="449"/>
      <c r="I2" s="449"/>
    </row>
    <row r="3" spans="1:9" ht="61.5" customHeight="1">
      <c r="A3" s="449"/>
      <c r="B3" s="449"/>
      <c r="C3" s="449"/>
      <c r="D3" s="449"/>
      <c r="E3" s="449"/>
      <c r="F3" s="449"/>
      <c r="G3" s="449"/>
      <c r="H3" s="449"/>
      <c r="I3" s="449"/>
    </row>
    <row r="4" spans="1:9" ht="61.5" customHeight="1">
      <c r="A4" s="448"/>
      <c r="B4" s="448"/>
      <c r="C4" s="448"/>
      <c r="D4" s="448"/>
      <c r="E4" s="448"/>
      <c r="F4" s="448"/>
      <c r="G4" s="448"/>
      <c r="H4" s="448"/>
      <c r="I4" s="448"/>
    </row>
    <row r="5" spans="1:9" ht="61.5">
      <c r="A5" s="448"/>
      <c r="B5" s="448"/>
      <c r="C5" s="448"/>
      <c r="D5" s="448"/>
      <c r="E5" s="448"/>
      <c r="F5" s="448"/>
      <c r="G5" s="448"/>
      <c r="H5" s="448"/>
      <c r="I5" s="448"/>
    </row>
    <row r="6" spans="1:9" ht="61.5">
      <c r="A6" s="448"/>
      <c r="B6" s="448"/>
      <c r="C6" s="448"/>
      <c r="D6" s="448"/>
      <c r="E6" s="448"/>
      <c r="F6" s="448"/>
      <c r="G6" s="448"/>
      <c r="H6" s="448"/>
      <c r="I6" s="448"/>
    </row>
  </sheetData>
  <sheetProtection/>
  <mergeCells count="4">
    <mergeCell ref="A4:I4"/>
    <mergeCell ref="A5:I5"/>
    <mergeCell ref="A6:I6"/>
    <mergeCell ref="A1:I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63"/>
  </sheetPr>
  <dimension ref="A1:I24"/>
  <sheetViews>
    <sheetView zoomScalePageLayoutView="0" workbookViewId="0" topLeftCell="A7">
      <selection activeCell="B27" sqref="B27"/>
    </sheetView>
  </sheetViews>
  <sheetFormatPr defaultColWidth="9.00390625" defaultRowHeight="15.75"/>
  <cols>
    <col min="1" max="1" width="14.75390625" style="0" customWidth="1"/>
    <col min="2" max="2" width="11.75390625" style="0" customWidth="1"/>
    <col min="3" max="4" width="12.125" style="0" customWidth="1"/>
    <col min="5" max="6" width="10.625" style="0" customWidth="1"/>
    <col min="7" max="7" width="10.25390625" style="0" customWidth="1"/>
    <col min="8" max="8" width="10.875" style="0" customWidth="1"/>
    <col min="9" max="9" width="10.625" style="0" customWidth="1"/>
  </cols>
  <sheetData>
    <row r="1" spans="1:9" ht="15.75">
      <c r="A1" s="475" t="s">
        <v>224</v>
      </c>
      <c r="B1" s="476"/>
      <c r="C1" s="476"/>
      <c r="D1" s="476"/>
      <c r="E1" s="476"/>
      <c r="F1" s="476"/>
      <c r="G1" s="476"/>
      <c r="H1" s="476"/>
      <c r="I1" s="496"/>
    </row>
    <row r="2" spans="1:9" ht="16.5" thickBot="1">
      <c r="A2" s="147" t="s">
        <v>225</v>
      </c>
      <c r="B2" s="4"/>
      <c r="C2" s="4"/>
      <c r="D2" s="4"/>
      <c r="E2" s="4"/>
      <c r="F2" s="4"/>
      <c r="G2" s="4"/>
      <c r="H2" s="4"/>
      <c r="I2" s="4"/>
    </row>
    <row r="3" spans="1:9" ht="15.75">
      <c r="A3" s="497" t="s">
        <v>36</v>
      </c>
      <c r="B3" s="459" t="s">
        <v>226</v>
      </c>
      <c r="C3" s="499" t="s">
        <v>227</v>
      </c>
      <c r="D3" s="500"/>
      <c r="E3" s="501"/>
      <c r="F3" s="459" t="s">
        <v>228</v>
      </c>
      <c r="G3" s="499" t="s">
        <v>229</v>
      </c>
      <c r="H3" s="500"/>
      <c r="I3" s="502"/>
    </row>
    <row r="4" spans="1:9" ht="48" thickBot="1">
      <c r="A4" s="498"/>
      <c r="B4" s="460"/>
      <c r="C4" s="148" t="s">
        <v>230</v>
      </c>
      <c r="D4" s="148" t="s">
        <v>231</v>
      </c>
      <c r="E4" s="148" t="s">
        <v>232</v>
      </c>
      <c r="F4" s="460"/>
      <c r="G4" s="148" t="s">
        <v>230</v>
      </c>
      <c r="H4" s="148" t="s">
        <v>231</v>
      </c>
      <c r="I4" s="149" t="s">
        <v>232</v>
      </c>
    </row>
    <row r="5" spans="1:9" ht="15.75">
      <c r="A5" s="314" t="s">
        <v>123</v>
      </c>
      <c r="B5" s="315">
        <v>3</v>
      </c>
      <c r="C5" s="315">
        <v>15.75</v>
      </c>
      <c r="D5" s="316">
        <v>6</v>
      </c>
      <c r="E5" s="315">
        <v>0</v>
      </c>
      <c r="F5" s="315">
        <v>4</v>
      </c>
      <c r="G5" s="315">
        <v>18</v>
      </c>
      <c r="H5" s="315">
        <v>5</v>
      </c>
      <c r="I5" s="315"/>
    </row>
    <row r="6" spans="1:9" ht="15.75">
      <c r="A6" s="314" t="s">
        <v>143</v>
      </c>
      <c r="B6" s="315">
        <v>8</v>
      </c>
      <c r="C6" s="315">
        <v>40.75</v>
      </c>
      <c r="D6" s="316">
        <v>3</v>
      </c>
      <c r="E6" s="315">
        <v>0</v>
      </c>
      <c r="F6" s="315">
        <v>6</v>
      </c>
      <c r="G6" s="315">
        <v>30.5</v>
      </c>
      <c r="H6" s="315"/>
      <c r="I6" s="315"/>
    </row>
    <row r="7" spans="1:9" ht="15.75">
      <c r="A7" s="314" t="s">
        <v>639</v>
      </c>
      <c r="B7" s="315">
        <v>8</v>
      </c>
      <c r="C7" s="316">
        <v>35.5</v>
      </c>
      <c r="D7" s="316">
        <v>6</v>
      </c>
      <c r="E7" s="315">
        <v>0</v>
      </c>
      <c r="F7" s="315">
        <v>2</v>
      </c>
      <c r="G7" s="315">
        <v>9.5</v>
      </c>
      <c r="H7" s="315"/>
      <c r="I7" s="315"/>
    </row>
    <row r="8" spans="1:9" ht="15.75">
      <c r="A8" s="317" t="s">
        <v>176</v>
      </c>
      <c r="B8" s="318">
        <v>7</v>
      </c>
      <c r="C8" s="319">
        <v>38</v>
      </c>
      <c r="D8" s="318"/>
      <c r="E8" s="315">
        <v>0</v>
      </c>
      <c r="F8" s="318">
        <v>2</v>
      </c>
      <c r="G8" s="318">
        <v>5</v>
      </c>
      <c r="H8" s="318">
        <v>5</v>
      </c>
      <c r="I8" s="318"/>
    </row>
    <row r="9" spans="1:9" ht="15.75">
      <c r="A9" s="317" t="s">
        <v>133</v>
      </c>
      <c r="B9" s="318">
        <v>13</v>
      </c>
      <c r="C9" s="319">
        <v>78.75</v>
      </c>
      <c r="D9" s="318"/>
      <c r="E9" s="315">
        <v>0</v>
      </c>
      <c r="F9" s="318">
        <v>2</v>
      </c>
      <c r="G9" s="318">
        <v>4.5</v>
      </c>
      <c r="H9" s="318"/>
      <c r="I9" s="318">
        <v>10</v>
      </c>
    </row>
    <row r="10" spans="1:9" ht="15.75">
      <c r="A10" s="151" t="s">
        <v>40</v>
      </c>
      <c r="B10" s="151">
        <f aca="true" t="shared" si="0" ref="B10:I10">SUM(B5:B9)</f>
        <v>39</v>
      </c>
      <c r="C10" s="151">
        <f t="shared" si="0"/>
        <v>208.75</v>
      </c>
      <c r="D10" s="151">
        <f t="shared" si="0"/>
        <v>15</v>
      </c>
      <c r="E10" s="151">
        <f t="shared" si="0"/>
        <v>0</v>
      </c>
      <c r="F10" s="151">
        <f t="shared" si="0"/>
        <v>16</v>
      </c>
      <c r="G10" s="151">
        <f t="shared" si="0"/>
        <v>67.5</v>
      </c>
      <c r="H10" s="151">
        <f t="shared" si="0"/>
        <v>10</v>
      </c>
      <c r="I10" s="151">
        <f t="shared" si="0"/>
        <v>10</v>
      </c>
    </row>
    <row r="12" spans="1:9" ht="16.5" thickBot="1">
      <c r="A12" s="147" t="s">
        <v>233</v>
      </c>
      <c r="B12" s="6"/>
      <c r="C12" s="6"/>
      <c r="D12" s="6"/>
      <c r="E12" s="6"/>
      <c r="F12" s="6"/>
      <c r="G12" s="6"/>
      <c r="H12" s="6"/>
      <c r="I12" s="6"/>
    </row>
    <row r="13" spans="1:9" ht="15.75">
      <c r="A13" s="497" t="s">
        <v>36</v>
      </c>
      <c r="B13" s="459" t="s">
        <v>226</v>
      </c>
      <c r="C13" s="499" t="s">
        <v>227</v>
      </c>
      <c r="D13" s="500"/>
      <c r="E13" s="501"/>
      <c r="F13" s="459" t="s">
        <v>228</v>
      </c>
      <c r="G13" s="499" t="s">
        <v>229</v>
      </c>
      <c r="H13" s="500"/>
      <c r="I13" s="502"/>
    </row>
    <row r="14" spans="1:9" ht="48" thickBot="1">
      <c r="A14" s="498"/>
      <c r="B14" s="460"/>
      <c r="C14" s="148" t="s">
        <v>230</v>
      </c>
      <c r="D14" s="148" t="s">
        <v>231</v>
      </c>
      <c r="E14" s="148" t="s">
        <v>232</v>
      </c>
      <c r="F14" s="460"/>
      <c r="G14" s="148" t="s">
        <v>230</v>
      </c>
      <c r="H14" s="148" t="s">
        <v>231</v>
      </c>
      <c r="I14" s="149" t="s">
        <v>232</v>
      </c>
    </row>
    <row r="15" spans="1:9" ht="15.75">
      <c r="A15" s="320" t="s">
        <v>123</v>
      </c>
      <c r="B15" s="321">
        <v>9</v>
      </c>
      <c r="C15" s="322">
        <v>39.5</v>
      </c>
      <c r="D15" s="322">
        <v>7</v>
      </c>
      <c r="E15" s="323">
        <v>0</v>
      </c>
      <c r="F15" s="321">
        <v>3</v>
      </c>
      <c r="G15" s="322">
        <v>15</v>
      </c>
      <c r="H15" s="323"/>
      <c r="I15" s="324">
        <v>0</v>
      </c>
    </row>
    <row r="16" spans="1:9" ht="15.75">
      <c r="A16" s="325" t="s">
        <v>143</v>
      </c>
      <c r="B16" s="326">
        <v>9</v>
      </c>
      <c r="C16" s="327">
        <v>33.75</v>
      </c>
      <c r="D16" s="327">
        <v>23</v>
      </c>
      <c r="E16" s="326">
        <v>0</v>
      </c>
      <c r="F16" s="328">
        <v>0</v>
      </c>
      <c r="G16" s="329">
        <v>0</v>
      </c>
      <c r="H16" s="326"/>
      <c r="I16" s="330">
        <v>0</v>
      </c>
    </row>
    <row r="17" spans="1:9" ht="15.75">
      <c r="A17" s="331" t="s">
        <v>640</v>
      </c>
      <c r="B17" s="318">
        <v>5</v>
      </c>
      <c r="C17" s="332">
        <v>23</v>
      </c>
      <c r="D17" s="332">
        <v>5</v>
      </c>
      <c r="E17" s="318">
        <v>0</v>
      </c>
      <c r="F17" s="333">
        <v>3</v>
      </c>
      <c r="G17" s="319">
        <v>13.25</v>
      </c>
      <c r="H17" s="318"/>
      <c r="I17" s="334">
        <v>0</v>
      </c>
    </row>
    <row r="18" spans="1:9" ht="15.75">
      <c r="A18" s="331" t="s">
        <v>176</v>
      </c>
      <c r="B18" s="318">
        <v>5</v>
      </c>
      <c r="C18" s="332">
        <v>25.5</v>
      </c>
      <c r="D18" s="332"/>
      <c r="E18" s="318">
        <v>0</v>
      </c>
      <c r="F18" s="333">
        <v>3</v>
      </c>
      <c r="G18" s="319">
        <v>10</v>
      </c>
      <c r="H18" s="318">
        <v>10</v>
      </c>
      <c r="I18" s="318">
        <v>0</v>
      </c>
    </row>
    <row r="19" spans="1:9" ht="15.75">
      <c r="A19" s="331" t="s">
        <v>133</v>
      </c>
      <c r="B19" s="318">
        <v>9</v>
      </c>
      <c r="C19" s="332">
        <v>52.5</v>
      </c>
      <c r="D19" s="332"/>
      <c r="E19" s="318">
        <v>0</v>
      </c>
      <c r="F19" s="333">
        <v>6</v>
      </c>
      <c r="G19" s="319">
        <v>31</v>
      </c>
      <c r="H19" s="318"/>
      <c r="I19" s="324">
        <v>0</v>
      </c>
    </row>
    <row r="20" spans="1:9" ht="15.75">
      <c r="A20" s="3"/>
      <c r="B20" s="3"/>
      <c r="C20" s="3"/>
      <c r="D20" s="3"/>
      <c r="E20" s="3"/>
      <c r="F20" s="3"/>
      <c r="G20" s="3"/>
      <c r="H20" s="3"/>
      <c r="I20" s="3"/>
    </row>
    <row r="21" spans="1:9" ht="15.75">
      <c r="A21" s="152" t="s">
        <v>40</v>
      </c>
      <c r="B21" s="335">
        <v>31</v>
      </c>
      <c r="C21" s="335">
        <v>174.25</v>
      </c>
      <c r="D21" s="336">
        <v>35</v>
      </c>
      <c r="E21" s="335">
        <v>0</v>
      </c>
      <c r="F21" s="335">
        <v>15</v>
      </c>
      <c r="G21" s="336">
        <v>69.25</v>
      </c>
      <c r="H21" s="336">
        <v>10</v>
      </c>
      <c r="I21" s="336">
        <v>0</v>
      </c>
    </row>
    <row r="22" spans="1:9" ht="15.75">
      <c r="A22" s="6"/>
      <c r="B22" s="337"/>
      <c r="C22" s="337"/>
      <c r="D22" s="338"/>
      <c r="E22" s="337"/>
      <c r="F22" s="337"/>
      <c r="G22" s="338"/>
      <c r="H22" s="337"/>
      <c r="I22" s="337"/>
    </row>
    <row r="23" spans="1:9" ht="15.75">
      <c r="A23" s="152" t="s">
        <v>234</v>
      </c>
      <c r="B23" s="339">
        <v>8</v>
      </c>
      <c r="C23" s="339">
        <v>34.5</v>
      </c>
      <c r="D23" s="340">
        <v>-20</v>
      </c>
      <c r="E23" s="339">
        <v>0</v>
      </c>
      <c r="F23" s="339">
        <v>1</v>
      </c>
      <c r="G23" s="340">
        <v>-1.75</v>
      </c>
      <c r="H23" s="339">
        <v>0</v>
      </c>
      <c r="I23" s="341">
        <v>10</v>
      </c>
    </row>
    <row r="24" spans="1:9" ht="15.75">
      <c r="A24" s="152" t="s">
        <v>235</v>
      </c>
      <c r="B24" s="342">
        <v>25.8</v>
      </c>
      <c r="C24" s="342">
        <v>19.8</v>
      </c>
      <c r="D24" s="343">
        <v>-42.87</v>
      </c>
      <c r="E24" s="342">
        <v>0</v>
      </c>
      <c r="F24" s="343">
        <v>6.66</v>
      </c>
      <c r="G24" s="343">
        <v>-2.52</v>
      </c>
      <c r="H24" s="342">
        <v>0</v>
      </c>
      <c r="I24" s="342">
        <v>0</v>
      </c>
    </row>
  </sheetData>
  <sheetProtection/>
  <mergeCells count="11">
    <mergeCell ref="G13:I13"/>
    <mergeCell ref="A13:A14"/>
    <mergeCell ref="B13:B14"/>
    <mergeCell ref="C13:E13"/>
    <mergeCell ref="F13:F14"/>
    <mergeCell ref="A1:I1"/>
    <mergeCell ref="A3:A4"/>
    <mergeCell ref="B3:B4"/>
    <mergeCell ref="C3:E3"/>
    <mergeCell ref="F3:F4"/>
    <mergeCell ref="G3:I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F29" sqref="F29"/>
    </sheetView>
  </sheetViews>
  <sheetFormatPr defaultColWidth="9.00390625" defaultRowHeight="15.75"/>
  <cols>
    <col min="1" max="1" width="4.00390625" style="0" customWidth="1"/>
    <col min="2" max="2" width="39.625" style="0" customWidth="1"/>
    <col min="3" max="3" width="25.50390625" style="0" customWidth="1"/>
    <col min="4" max="4" width="13.75390625" style="0" customWidth="1"/>
    <col min="5" max="5" width="11.25390625" style="0" customWidth="1"/>
    <col min="6" max="6" width="17.00390625" style="0" customWidth="1"/>
  </cols>
  <sheetData>
    <row r="1" spans="1:6" ht="21" thickBot="1">
      <c r="A1" s="475" t="s">
        <v>602</v>
      </c>
      <c r="B1" s="475"/>
      <c r="C1" s="475"/>
      <c r="D1" s="475"/>
      <c r="E1" s="475"/>
      <c r="F1" s="475"/>
    </row>
    <row r="2" spans="1:6" ht="48" thickBot="1">
      <c r="A2" s="291" t="s">
        <v>566</v>
      </c>
      <c r="B2" s="70" t="s">
        <v>567</v>
      </c>
      <c r="C2" s="70" t="s">
        <v>59</v>
      </c>
      <c r="D2" s="70" t="s">
        <v>568</v>
      </c>
      <c r="E2" s="70" t="s">
        <v>603</v>
      </c>
      <c r="F2" s="71" t="s">
        <v>570</v>
      </c>
    </row>
    <row r="3" spans="1:6" ht="15.75">
      <c r="A3" s="293" t="s">
        <v>609</v>
      </c>
      <c r="B3" s="52" t="s">
        <v>604</v>
      </c>
      <c r="C3" s="52" t="s">
        <v>549</v>
      </c>
      <c r="D3" s="292">
        <v>40504</v>
      </c>
      <c r="E3" s="292">
        <v>40686</v>
      </c>
      <c r="F3" s="293" t="s">
        <v>574</v>
      </c>
    </row>
    <row r="4" spans="1:6" ht="47.25" customHeight="1">
      <c r="A4" s="293" t="s">
        <v>130</v>
      </c>
      <c r="B4" s="294" t="s">
        <v>605</v>
      </c>
      <c r="C4" s="305" t="s">
        <v>554</v>
      </c>
      <c r="D4" s="295">
        <v>39918</v>
      </c>
      <c r="E4" s="292">
        <v>40648</v>
      </c>
      <c r="F4" s="293" t="s">
        <v>579</v>
      </c>
    </row>
    <row r="5" spans="1:6" ht="16.5" thickBot="1">
      <c r="A5" s="6"/>
      <c r="B5" s="6"/>
      <c r="C5" s="6"/>
      <c r="D5" s="6"/>
      <c r="E5" s="6"/>
      <c r="F5" s="13"/>
    </row>
    <row r="6" spans="2:6" ht="48" thickBot="1">
      <c r="B6" s="298" t="s">
        <v>606</v>
      </c>
      <c r="C6" s="55"/>
      <c r="D6" s="71" t="s">
        <v>592</v>
      </c>
      <c r="E6" s="6"/>
      <c r="F6" s="13"/>
    </row>
    <row r="7" spans="2:6" ht="15.75">
      <c r="B7" s="299" t="s">
        <v>593</v>
      </c>
      <c r="C7" s="300">
        <v>2</v>
      </c>
      <c r="D7" s="52">
        <v>1</v>
      </c>
      <c r="E7" s="6"/>
      <c r="F7" s="6"/>
    </row>
    <row r="8" spans="2:6" ht="15.75">
      <c r="B8" s="299" t="s">
        <v>594</v>
      </c>
      <c r="C8" s="301"/>
      <c r="D8" s="3"/>
      <c r="E8" s="6"/>
      <c r="F8" s="6"/>
    </row>
    <row r="9" spans="2:6" ht="15.75">
      <c r="B9" s="299" t="s">
        <v>595</v>
      </c>
      <c r="C9" s="301">
        <v>2</v>
      </c>
      <c r="D9" s="3">
        <v>1</v>
      </c>
      <c r="E9" s="6"/>
      <c r="F9" s="6"/>
    </row>
    <row r="10" spans="2:6" ht="15.75">
      <c r="B10" s="12" t="s">
        <v>596</v>
      </c>
      <c r="C10" s="301"/>
      <c r="D10" s="3"/>
      <c r="E10" s="6"/>
      <c r="F10" s="6"/>
    </row>
    <row r="11" spans="2:6" ht="15.75">
      <c r="B11" s="3" t="s">
        <v>597</v>
      </c>
      <c r="C11" s="301"/>
      <c r="D11" s="3"/>
      <c r="E11" s="6"/>
      <c r="F11" s="6"/>
    </row>
    <row r="12" spans="2:6" ht="15.75">
      <c r="B12" s="3" t="s">
        <v>598</v>
      </c>
      <c r="C12" s="301"/>
      <c r="D12" s="3"/>
      <c r="E12" s="6"/>
      <c r="F12" s="6"/>
    </row>
    <row r="13" spans="2:6" ht="15.75">
      <c r="B13" s="3" t="s">
        <v>599</v>
      </c>
      <c r="C13" s="301"/>
      <c r="D13" s="3"/>
      <c r="E13" s="6"/>
      <c r="F13" s="6"/>
    </row>
    <row r="14" spans="2:6" ht="16.5" thickBot="1">
      <c r="B14" s="6"/>
      <c r="C14" s="6"/>
      <c r="D14" s="6"/>
      <c r="E14" s="6"/>
      <c r="F14" s="6"/>
    </row>
    <row r="15" spans="2:6" ht="16.5" thickBot="1">
      <c r="B15" s="302" t="s">
        <v>607</v>
      </c>
      <c r="C15" s="303" t="s">
        <v>608</v>
      </c>
      <c r="E15" s="6"/>
      <c r="F15" s="6"/>
    </row>
    <row r="16" spans="2:6" ht="15.75">
      <c r="B16" s="304">
        <v>2</v>
      </c>
      <c r="C16" s="299">
        <v>54</v>
      </c>
      <c r="D16" s="30"/>
      <c r="E16" s="6"/>
      <c r="F16" s="6"/>
    </row>
  </sheetData>
  <mergeCells count="1">
    <mergeCell ref="A1:F1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0">
      <selection activeCell="A1" sqref="A1:F1"/>
    </sheetView>
  </sheetViews>
  <sheetFormatPr defaultColWidth="9.00390625" defaultRowHeight="15.75"/>
  <cols>
    <col min="2" max="2" width="36.875" style="0" customWidth="1"/>
    <col min="3" max="3" width="27.875" style="0" customWidth="1"/>
    <col min="4" max="4" width="13.25390625" style="0" customWidth="1"/>
    <col min="5" max="5" width="14.00390625" style="0" customWidth="1"/>
    <col min="6" max="6" width="13.25390625" style="0" customWidth="1"/>
  </cols>
  <sheetData>
    <row r="1" spans="1:6" ht="21" thickBot="1">
      <c r="A1" s="503" t="s">
        <v>565</v>
      </c>
      <c r="B1" s="503"/>
      <c r="C1" s="503"/>
      <c r="D1" s="503"/>
      <c r="E1" s="503"/>
      <c r="F1" s="503"/>
    </row>
    <row r="2" spans="1:6" ht="48" thickBot="1">
      <c r="A2" s="261" t="s">
        <v>566</v>
      </c>
      <c r="B2" s="56" t="s">
        <v>567</v>
      </c>
      <c r="C2" s="56" t="s">
        <v>59</v>
      </c>
      <c r="D2" s="56" t="s">
        <v>568</v>
      </c>
      <c r="E2" s="56" t="s">
        <v>569</v>
      </c>
      <c r="F2" s="57" t="s">
        <v>570</v>
      </c>
    </row>
    <row r="3" spans="1:6" ht="15.75">
      <c r="A3" s="262">
        <v>1</v>
      </c>
      <c r="B3" s="263" t="s">
        <v>571</v>
      </c>
      <c r="C3" s="263" t="s">
        <v>549</v>
      </c>
      <c r="D3" s="262" t="s">
        <v>572</v>
      </c>
      <c r="E3" s="262" t="s">
        <v>573</v>
      </c>
      <c r="F3" s="262" t="s">
        <v>574</v>
      </c>
    </row>
    <row r="4" spans="1:6" ht="15.75">
      <c r="A4" s="264">
        <v>2</v>
      </c>
      <c r="B4" s="265" t="s">
        <v>575</v>
      </c>
      <c r="C4" s="263" t="s">
        <v>549</v>
      </c>
      <c r="D4" s="264" t="s">
        <v>576</v>
      </c>
      <c r="E4" s="262" t="s">
        <v>573</v>
      </c>
      <c r="F4" s="262" t="s">
        <v>574</v>
      </c>
    </row>
    <row r="5" spans="1:6" ht="15.75">
      <c r="A5" s="264">
        <v>3</v>
      </c>
      <c r="B5" s="263" t="s">
        <v>577</v>
      </c>
      <c r="C5" s="263" t="s">
        <v>558</v>
      </c>
      <c r="D5" s="266">
        <v>40323</v>
      </c>
      <c r="E5" s="267">
        <v>40603</v>
      </c>
      <c r="F5" s="262" t="s">
        <v>574</v>
      </c>
    </row>
    <row r="6" spans="1:6" ht="31.5">
      <c r="A6" s="264">
        <v>4</v>
      </c>
      <c r="B6" s="268" t="s">
        <v>578</v>
      </c>
      <c r="C6" s="269" t="s">
        <v>554</v>
      </c>
      <c r="D6" s="270">
        <v>39972</v>
      </c>
      <c r="E6" s="271">
        <v>40603</v>
      </c>
      <c r="F6" s="272" t="s">
        <v>579</v>
      </c>
    </row>
    <row r="7" spans="1:6" ht="15.75">
      <c r="A7" s="264">
        <v>5</v>
      </c>
      <c r="B7" s="263" t="s">
        <v>580</v>
      </c>
      <c r="C7" s="263" t="s">
        <v>581</v>
      </c>
      <c r="D7" s="266">
        <v>40501</v>
      </c>
      <c r="E7" s="266">
        <v>40739</v>
      </c>
      <c r="F7" s="262" t="s">
        <v>574</v>
      </c>
    </row>
    <row r="8" spans="1:6" ht="15.75">
      <c r="A8" s="264">
        <v>6</v>
      </c>
      <c r="B8" s="265" t="s">
        <v>582</v>
      </c>
      <c r="C8" s="263" t="s">
        <v>581</v>
      </c>
      <c r="D8" s="273">
        <v>40504</v>
      </c>
      <c r="E8" s="273">
        <v>40739</v>
      </c>
      <c r="F8" s="262" t="s">
        <v>574</v>
      </c>
    </row>
    <row r="9" spans="1:6" ht="15.75">
      <c r="A9" s="264">
        <v>7</v>
      </c>
      <c r="B9" s="263" t="s">
        <v>583</v>
      </c>
      <c r="C9" s="263" t="s">
        <v>562</v>
      </c>
      <c r="D9" s="262" t="s">
        <v>584</v>
      </c>
      <c r="E9" s="266">
        <v>40544</v>
      </c>
      <c r="F9" s="262" t="s">
        <v>579</v>
      </c>
    </row>
    <row r="10" spans="1:6" ht="15.75">
      <c r="A10" s="264">
        <v>8</v>
      </c>
      <c r="B10" s="265" t="s">
        <v>585</v>
      </c>
      <c r="C10" s="265" t="s">
        <v>563</v>
      </c>
      <c r="D10" s="264" t="s">
        <v>586</v>
      </c>
      <c r="E10" s="273">
        <v>40544</v>
      </c>
      <c r="F10" s="264" t="s">
        <v>574</v>
      </c>
    </row>
    <row r="11" spans="1:6" ht="15.75">
      <c r="A11" s="264">
        <v>9</v>
      </c>
      <c r="B11" s="265" t="s">
        <v>587</v>
      </c>
      <c r="C11" s="265" t="s">
        <v>562</v>
      </c>
      <c r="D11" s="264" t="s">
        <v>586</v>
      </c>
      <c r="E11" s="273">
        <v>40634</v>
      </c>
      <c r="F11" s="264" t="s">
        <v>574</v>
      </c>
    </row>
    <row r="12" spans="1:6" ht="15.75">
      <c r="A12" s="264">
        <v>10</v>
      </c>
      <c r="B12" s="265" t="s">
        <v>588</v>
      </c>
      <c r="C12" s="265" t="s">
        <v>562</v>
      </c>
      <c r="D12" s="264" t="s">
        <v>586</v>
      </c>
      <c r="E12" s="273">
        <v>40634</v>
      </c>
      <c r="F12" s="264" t="s">
        <v>574</v>
      </c>
    </row>
    <row r="13" spans="1:6" ht="15.75">
      <c r="A13" s="264">
        <v>11</v>
      </c>
      <c r="B13" s="265" t="s">
        <v>589</v>
      </c>
      <c r="C13" s="265" t="s">
        <v>564</v>
      </c>
      <c r="D13" s="264" t="s">
        <v>590</v>
      </c>
      <c r="E13" s="273">
        <v>40634</v>
      </c>
      <c r="F13" s="264" t="s">
        <v>574</v>
      </c>
    </row>
    <row r="14" spans="1:6" ht="16.5" thickBot="1">
      <c r="A14" s="47"/>
      <c r="B14" s="47"/>
      <c r="C14" s="47"/>
      <c r="D14" s="47"/>
      <c r="E14" s="47"/>
      <c r="F14" s="274"/>
    </row>
    <row r="15" spans="1:6" ht="48" thickBot="1">
      <c r="A15" s="48"/>
      <c r="B15" s="275" t="s">
        <v>591</v>
      </c>
      <c r="C15" s="276"/>
      <c r="D15" s="277" t="s">
        <v>592</v>
      </c>
      <c r="E15" s="47"/>
      <c r="F15" s="274"/>
    </row>
    <row r="16" spans="1:6" ht="15.75">
      <c r="A16" s="48"/>
      <c r="B16" s="278" t="s">
        <v>593</v>
      </c>
      <c r="C16" s="279">
        <v>7</v>
      </c>
      <c r="D16" s="280">
        <v>1</v>
      </c>
      <c r="E16" s="47"/>
      <c r="F16" s="47"/>
    </row>
    <row r="17" spans="1:6" ht="15.75">
      <c r="A17" s="48"/>
      <c r="B17" s="278" t="s">
        <v>594</v>
      </c>
      <c r="C17" s="281">
        <v>9</v>
      </c>
      <c r="D17" s="282">
        <v>4</v>
      </c>
      <c r="E17" s="47"/>
      <c r="F17" s="47"/>
    </row>
    <row r="18" spans="1:6" ht="15.75">
      <c r="A18" s="48"/>
      <c r="B18" s="278" t="s">
        <v>595</v>
      </c>
      <c r="C18" s="281">
        <v>11</v>
      </c>
      <c r="D18" s="282">
        <v>2</v>
      </c>
      <c r="E18" s="47"/>
      <c r="F18" s="47"/>
    </row>
    <row r="19" spans="1:6" ht="15.75">
      <c r="A19" s="48"/>
      <c r="B19" s="283" t="s">
        <v>596</v>
      </c>
      <c r="C19" s="284"/>
      <c r="D19" s="285"/>
      <c r="E19" s="47"/>
      <c r="F19" s="47"/>
    </row>
    <row r="20" spans="1:6" ht="15.75">
      <c r="A20" s="48"/>
      <c r="B20" s="265" t="s">
        <v>597</v>
      </c>
      <c r="C20" s="284"/>
      <c r="D20" s="285"/>
      <c r="E20" s="47"/>
      <c r="F20" s="47"/>
    </row>
    <row r="21" spans="1:6" ht="15.75">
      <c r="A21" s="48"/>
      <c r="B21" s="265" t="s">
        <v>598</v>
      </c>
      <c r="C21" s="284"/>
      <c r="D21" s="285"/>
      <c r="E21" s="47"/>
      <c r="F21" s="47"/>
    </row>
    <row r="22" spans="1:6" ht="15.75">
      <c r="A22" s="48"/>
      <c r="B22" s="265" t="s">
        <v>599</v>
      </c>
      <c r="C22" s="284"/>
      <c r="D22" s="285"/>
      <c r="E22" s="47"/>
      <c r="F22" s="47"/>
    </row>
    <row r="23" spans="1:6" ht="16.5" thickBot="1">
      <c r="A23" s="48"/>
      <c r="B23" s="47"/>
      <c r="C23" s="47"/>
      <c r="D23" s="47"/>
      <c r="E23" s="47"/>
      <c r="F23" s="47"/>
    </row>
    <row r="24" spans="1:6" ht="16.5" thickBot="1">
      <c r="A24" s="48"/>
      <c r="B24" s="286" t="s">
        <v>600</v>
      </c>
      <c r="C24" s="287" t="s">
        <v>601</v>
      </c>
      <c r="E24" s="47"/>
      <c r="F24" s="47"/>
    </row>
    <row r="25" spans="1:6" ht="15.75">
      <c r="A25" s="48"/>
      <c r="B25" s="288">
        <v>11</v>
      </c>
      <c r="C25" s="289">
        <v>38</v>
      </c>
      <c r="D25" s="290"/>
      <c r="E25" s="47"/>
      <c r="F25" s="47"/>
    </row>
  </sheetData>
  <mergeCells count="1">
    <mergeCell ref="A1:F1"/>
  </mergeCell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E16" sqref="E16"/>
    </sheetView>
  </sheetViews>
  <sheetFormatPr defaultColWidth="9.00390625" defaultRowHeight="15.75"/>
  <cols>
    <col min="1" max="1" width="10.875" style="0" customWidth="1"/>
    <col min="2" max="2" width="11.25390625" style="0" customWidth="1"/>
    <col min="3" max="3" width="13.00390625" style="0" customWidth="1"/>
    <col min="4" max="4" width="17.125" style="0" customWidth="1"/>
    <col min="5" max="5" width="14.875" style="0" customWidth="1"/>
    <col min="6" max="6" width="10.625" style="0" customWidth="1"/>
    <col min="7" max="7" width="10.75390625" style="0" customWidth="1"/>
    <col min="8" max="8" width="11.25390625" style="0" customWidth="1"/>
    <col min="9" max="9" width="14.25390625" style="0" customWidth="1"/>
  </cols>
  <sheetData>
    <row r="1" spans="1:10" ht="21" thickBot="1">
      <c r="A1" s="504" t="s">
        <v>610</v>
      </c>
      <c r="B1" s="504"/>
      <c r="C1" s="504"/>
      <c r="D1" s="504"/>
      <c r="E1" s="504"/>
      <c r="F1" s="504"/>
      <c r="G1" s="504"/>
      <c r="H1" s="504"/>
      <c r="I1" s="504"/>
      <c r="J1" s="504"/>
    </row>
    <row r="2" spans="1:10" ht="115.5" customHeight="1" thickBot="1">
      <c r="A2" s="53" t="s">
        <v>611</v>
      </c>
      <c r="B2" s="70" t="s">
        <v>612</v>
      </c>
      <c r="C2" s="70" t="s">
        <v>613</v>
      </c>
      <c r="D2" s="70" t="s">
        <v>614</v>
      </c>
      <c r="E2" s="70" t="s">
        <v>615</v>
      </c>
      <c r="F2" s="70" t="s">
        <v>616</v>
      </c>
      <c r="G2" s="70" t="s">
        <v>617</v>
      </c>
      <c r="H2" s="70" t="s">
        <v>618</v>
      </c>
      <c r="I2" s="71" t="s">
        <v>619</v>
      </c>
      <c r="J2" s="306"/>
    </row>
    <row r="3" spans="1:10" ht="15.75">
      <c r="A3" s="296" t="s">
        <v>620</v>
      </c>
      <c r="B3" s="296">
        <v>19</v>
      </c>
      <c r="C3" s="52">
        <v>1</v>
      </c>
      <c r="D3" s="52">
        <v>0</v>
      </c>
      <c r="E3" s="52">
        <v>4.48</v>
      </c>
      <c r="F3" s="52">
        <v>0</v>
      </c>
      <c r="G3" s="52">
        <v>0</v>
      </c>
      <c r="H3" s="52">
        <v>0</v>
      </c>
      <c r="I3" s="52">
        <v>11</v>
      </c>
      <c r="J3" s="6"/>
    </row>
    <row r="4" spans="1:10" ht="15.75">
      <c r="A4" s="297" t="s">
        <v>621</v>
      </c>
      <c r="B4" s="297">
        <v>27</v>
      </c>
      <c r="C4" s="3">
        <v>1</v>
      </c>
      <c r="D4" s="3">
        <v>1</v>
      </c>
      <c r="E4" s="3">
        <v>4.5</v>
      </c>
      <c r="F4" s="3">
        <v>0</v>
      </c>
      <c r="G4" s="3">
        <v>0</v>
      </c>
      <c r="H4" s="3">
        <v>1</v>
      </c>
      <c r="I4" s="3">
        <v>7</v>
      </c>
      <c r="J4" s="6"/>
    </row>
    <row r="5" spans="1:10" ht="15.75">
      <c r="A5" s="297" t="s">
        <v>622</v>
      </c>
      <c r="B5" s="297">
        <v>64</v>
      </c>
      <c r="C5" s="3">
        <v>2</v>
      </c>
      <c r="D5" s="3">
        <v>3.25</v>
      </c>
      <c r="E5" s="3">
        <v>4</v>
      </c>
      <c r="F5" s="3">
        <v>0</v>
      </c>
      <c r="G5" s="3">
        <v>1</v>
      </c>
      <c r="H5" s="3">
        <v>0</v>
      </c>
      <c r="I5" s="3">
        <v>46</v>
      </c>
      <c r="J5" s="6"/>
    </row>
    <row r="6" spans="1:10" ht="15.75">
      <c r="A6" s="307" t="s">
        <v>40</v>
      </c>
      <c r="B6" s="308">
        <f aca="true" t="shared" si="0" ref="B6:I6">SUM(B3:B5)</f>
        <v>110</v>
      </c>
      <c r="C6" s="308">
        <v>1.33</v>
      </c>
      <c r="D6" s="308">
        <v>1.42</v>
      </c>
      <c r="E6" s="308">
        <v>4.33</v>
      </c>
      <c r="F6" s="308">
        <f t="shared" si="0"/>
        <v>0</v>
      </c>
      <c r="G6" s="308">
        <f t="shared" si="0"/>
        <v>1</v>
      </c>
      <c r="H6" s="308">
        <f t="shared" si="0"/>
        <v>1</v>
      </c>
      <c r="I6" s="308">
        <f t="shared" si="0"/>
        <v>64</v>
      </c>
      <c r="J6" s="6"/>
    </row>
    <row r="7" spans="1:10" ht="15.7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6.5" thickBot="1">
      <c r="A8" s="505" t="s">
        <v>623</v>
      </c>
      <c r="B8" s="505"/>
      <c r="C8" s="505"/>
      <c r="D8" s="7"/>
      <c r="E8" s="7"/>
      <c r="F8" s="7"/>
      <c r="G8" s="7"/>
      <c r="H8" s="7"/>
      <c r="I8" s="7"/>
      <c r="J8" s="7"/>
    </row>
    <row r="9" spans="1:10" ht="32.25" thickBot="1">
      <c r="A9" s="53" t="s">
        <v>624</v>
      </c>
      <c r="B9" s="68" t="s">
        <v>625</v>
      </c>
      <c r="C9" s="69" t="s">
        <v>626</v>
      </c>
      <c r="D9" s="7"/>
      <c r="E9" s="7"/>
      <c r="F9" s="7"/>
      <c r="G9" s="7"/>
      <c r="H9" s="7"/>
      <c r="I9" s="7"/>
      <c r="J9" s="7"/>
    </row>
    <row r="10" spans="1:10" ht="15.75">
      <c r="A10" s="296" t="s">
        <v>627</v>
      </c>
      <c r="B10" s="296">
        <v>5</v>
      </c>
      <c r="C10" s="309">
        <v>1.68</v>
      </c>
      <c r="D10" s="6"/>
      <c r="E10" s="6"/>
      <c r="F10" s="6"/>
      <c r="G10" s="6"/>
      <c r="H10" s="6"/>
      <c r="I10" s="6"/>
      <c r="J10" s="6"/>
    </row>
    <row r="11" spans="1:10" ht="15.75">
      <c r="A11" s="297" t="s">
        <v>628</v>
      </c>
      <c r="B11" s="297">
        <v>34.54</v>
      </c>
      <c r="C11" s="310">
        <v>19.68</v>
      </c>
      <c r="D11" s="6"/>
      <c r="E11" s="6"/>
      <c r="F11" s="6"/>
      <c r="G11" s="6"/>
      <c r="H11" s="6"/>
      <c r="I11" s="6"/>
      <c r="J11" s="6"/>
    </row>
    <row r="12" spans="1:3" ht="15.75">
      <c r="A12" s="308" t="s">
        <v>40</v>
      </c>
      <c r="B12" s="152">
        <f>+B10+B11</f>
        <v>39.54</v>
      </c>
      <c r="C12" s="152">
        <f>+C10+C11</f>
        <v>21.36</v>
      </c>
    </row>
  </sheetData>
  <mergeCells count="2">
    <mergeCell ref="A1:J1"/>
    <mergeCell ref="A8:C8"/>
  </mergeCells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G17" sqref="G17"/>
    </sheetView>
  </sheetViews>
  <sheetFormatPr defaultColWidth="9.00390625" defaultRowHeight="15.75"/>
  <cols>
    <col min="1" max="1" width="19.625" style="0" customWidth="1"/>
    <col min="2" max="2" width="13.25390625" style="0" customWidth="1"/>
    <col min="3" max="4" width="12.75390625" style="0" customWidth="1"/>
    <col min="5" max="5" width="11.375" style="0" customWidth="1"/>
    <col min="6" max="6" width="10.125" style="0" customWidth="1"/>
    <col min="7" max="7" width="14.375" style="0" customWidth="1"/>
  </cols>
  <sheetData>
    <row r="1" spans="1:7" ht="20.25">
      <c r="A1" s="471" t="s">
        <v>629</v>
      </c>
      <c r="B1" s="471"/>
      <c r="C1" s="471"/>
      <c r="D1" s="471"/>
      <c r="E1" s="471"/>
      <c r="F1" s="471"/>
      <c r="G1" s="471"/>
    </row>
    <row r="2" spans="1:3" ht="16.5" thickBot="1">
      <c r="A2" s="14" t="s">
        <v>630</v>
      </c>
      <c r="B2" s="14"/>
      <c r="C2" s="311"/>
    </row>
    <row r="3" spans="1:7" ht="48" thickBot="1">
      <c r="A3" s="53" t="s">
        <v>36</v>
      </c>
      <c r="B3" s="70" t="s">
        <v>40</v>
      </c>
      <c r="C3" s="70" t="s">
        <v>631</v>
      </c>
      <c r="D3" s="70" t="s">
        <v>632</v>
      </c>
      <c r="E3" s="70" t="s">
        <v>633</v>
      </c>
      <c r="F3" s="70" t="s">
        <v>634</v>
      </c>
      <c r="G3" s="71" t="s">
        <v>635</v>
      </c>
    </row>
    <row r="4" spans="1:7" ht="18" customHeight="1">
      <c r="A4" s="40" t="s">
        <v>123</v>
      </c>
      <c r="B4" s="312">
        <f>+SUM(C4:G4)</f>
        <v>61.94</v>
      </c>
      <c r="C4" s="40">
        <v>15.27</v>
      </c>
      <c r="D4" s="40">
        <v>14.2</v>
      </c>
      <c r="E4" s="40"/>
      <c r="F4" s="40">
        <v>27.67</v>
      </c>
      <c r="G4" s="40">
        <v>4.8</v>
      </c>
    </row>
    <row r="5" spans="1:7" ht="18" customHeight="1">
      <c r="A5" s="16" t="s">
        <v>143</v>
      </c>
      <c r="B5" s="312">
        <f>+SUM(C5:G5)</f>
        <v>94.93</v>
      </c>
      <c r="C5" s="16">
        <v>8.75</v>
      </c>
      <c r="D5" s="16">
        <v>27.8</v>
      </c>
      <c r="E5" s="16"/>
      <c r="F5" s="16">
        <v>55.38</v>
      </c>
      <c r="G5" s="16">
        <v>3</v>
      </c>
    </row>
    <row r="6" spans="1:7" ht="30.75" customHeight="1">
      <c r="A6" s="16" t="s">
        <v>223</v>
      </c>
      <c r="B6" s="312">
        <f>+SUM(C6:G6)</f>
        <v>68.64</v>
      </c>
      <c r="C6" s="16">
        <v>15.69</v>
      </c>
      <c r="D6" s="16">
        <v>23.59</v>
      </c>
      <c r="E6" s="16"/>
      <c r="F6" s="16">
        <v>20.4</v>
      </c>
      <c r="G6" s="16">
        <v>8.96</v>
      </c>
    </row>
    <row r="7" spans="1:7" ht="17.25" customHeight="1">
      <c r="A7" s="16" t="s">
        <v>176</v>
      </c>
      <c r="B7" s="312">
        <f>+SUM(C7:G7)</f>
        <v>30.229999999999997</v>
      </c>
      <c r="C7" s="16">
        <v>5.7</v>
      </c>
      <c r="D7" s="16">
        <v>4.55</v>
      </c>
      <c r="E7" s="16"/>
      <c r="F7" s="16">
        <v>13.44</v>
      </c>
      <c r="G7" s="16">
        <v>6.54</v>
      </c>
    </row>
    <row r="8" spans="1:7" ht="15.75">
      <c r="A8" s="16" t="s">
        <v>133</v>
      </c>
      <c r="B8" s="312">
        <f>+SUM(C8:G8)</f>
        <v>63.260000000000005</v>
      </c>
      <c r="C8" s="16">
        <v>7.15</v>
      </c>
      <c r="D8" s="16">
        <v>10</v>
      </c>
      <c r="E8" s="16"/>
      <c r="F8" s="16">
        <v>40.09</v>
      </c>
      <c r="G8" s="16">
        <v>6.02</v>
      </c>
    </row>
    <row r="9" spans="1:7" ht="15.75">
      <c r="A9" s="313" t="s">
        <v>40</v>
      </c>
      <c r="B9" s="313">
        <f aca="true" t="shared" si="0" ref="B9:G9">SUM(B4:B8)</f>
        <v>319</v>
      </c>
      <c r="C9" s="313">
        <f t="shared" si="0"/>
        <v>52.56</v>
      </c>
      <c r="D9" s="313">
        <f t="shared" si="0"/>
        <v>80.14</v>
      </c>
      <c r="E9" s="313">
        <f t="shared" si="0"/>
        <v>0</v>
      </c>
      <c r="F9" s="313">
        <f t="shared" si="0"/>
        <v>156.98000000000002</v>
      </c>
      <c r="G9" s="313">
        <f t="shared" si="0"/>
        <v>29.32</v>
      </c>
    </row>
    <row r="10" spans="1:7" ht="15.75">
      <c r="A10" s="313" t="s">
        <v>636</v>
      </c>
      <c r="B10" s="377">
        <v>100</v>
      </c>
      <c r="C10" s="378">
        <f>C9/B9*100</f>
        <v>16.476489028213166</v>
      </c>
      <c r="D10" s="378">
        <f>D9/B9*100</f>
        <v>25.122257053291534</v>
      </c>
      <c r="E10" s="378">
        <f>E9/D9*100</f>
        <v>0</v>
      </c>
      <c r="F10" s="378">
        <f>F9/B9*100</f>
        <v>49.21003134796239</v>
      </c>
      <c r="G10" s="378">
        <f>G9/B9*100</f>
        <v>9.191222570532915</v>
      </c>
    </row>
    <row r="11" spans="1:7" ht="15.75">
      <c r="A11" s="21" t="s">
        <v>637</v>
      </c>
      <c r="B11" s="2">
        <v>100</v>
      </c>
      <c r="C11" s="2">
        <v>15.43</v>
      </c>
      <c r="D11" s="2">
        <v>24.31</v>
      </c>
      <c r="E11" s="2"/>
      <c r="F11" s="2">
        <v>50.4</v>
      </c>
      <c r="G11" s="2">
        <v>9.86</v>
      </c>
    </row>
    <row r="12" spans="1:7" ht="15.75">
      <c r="A12" s="313" t="s">
        <v>638</v>
      </c>
      <c r="B12" s="379">
        <f aca="true" t="shared" si="1" ref="B12:G12">+B10-B11</f>
        <v>0</v>
      </c>
      <c r="C12" s="379">
        <f t="shared" si="1"/>
        <v>1.0464890282131663</v>
      </c>
      <c r="D12" s="379">
        <f t="shared" si="1"/>
        <v>0.8122570532915354</v>
      </c>
      <c r="E12" s="379">
        <f t="shared" si="1"/>
        <v>0</v>
      </c>
      <c r="F12" s="379">
        <f t="shared" si="1"/>
        <v>-1.1899686520376065</v>
      </c>
      <c r="G12" s="379">
        <f t="shared" si="1"/>
        <v>-0.6687774294670845</v>
      </c>
    </row>
  </sheetData>
  <mergeCells count="1">
    <mergeCell ref="A1:G1"/>
  </mergeCells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J4" sqref="J4"/>
    </sheetView>
  </sheetViews>
  <sheetFormatPr defaultColWidth="9.00390625" defaultRowHeight="15.75"/>
  <cols>
    <col min="1" max="1" width="15.00390625" style="0" customWidth="1"/>
    <col min="2" max="2" width="13.00390625" style="0" customWidth="1"/>
    <col min="3" max="3" width="12.125" style="0" customWidth="1"/>
    <col min="6" max="6" width="11.00390625" style="0" customWidth="1"/>
  </cols>
  <sheetData>
    <row r="1" spans="1:9" ht="18.75">
      <c r="A1" s="506" t="s">
        <v>641</v>
      </c>
      <c r="B1" s="506"/>
      <c r="C1" s="506"/>
      <c r="D1" s="506"/>
      <c r="E1" s="506"/>
      <c r="F1" s="506"/>
      <c r="G1" s="506"/>
      <c r="H1" s="506"/>
      <c r="I1" s="507"/>
    </row>
    <row r="2" spans="1:9" ht="16.5" thickBot="1">
      <c r="A2" s="344" t="s">
        <v>225</v>
      </c>
      <c r="B2" s="345"/>
      <c r="C2" s="345"/>
      <c r="D2" s="345"/>
      <c r="E2" s="345"/>
      <c r="F2" s="345"/>
      <c r="G2" s="345"/>
      <c r="H2" s="345"/>
      <c r="I2" s="345"/>
    </row>
    <row r="3" spans="1:9" ht="15.75">
      <c r="A3" s="508" t="s">
        <v>36</v>
      </c>
      <c r="B3" s="510" t="s">
        <v>642</v>
      </c>
      <c r="C3" s="512" t="s">
        <v>643</v>
      </c>
      <c r="D3" s="513"/>
      <c r="E3" s="514"/>
      <c r="F3" s="515" t="s">
        <v>644</v>
      </c>
      <c r="G3" s="512" t="s">
        <v>645</v>
      </c>
      <c r="H3" s="513"/>
      <c r="I3" s="517"/>
    </row>
    <row r="4" spans="1:9" ht="48" thickBot="1">
      <c r="A4" s="509"/>
      <c r="B4" s="511"/>
      <c r="C4" s="346" t="s">
        <v>230</v>
      </c>
      <c r="D4" s="346" t="s">
        <v>231</v>
      </c>
      <c r="E4" s="346" t="s">
        <v>232</v>
      </c>
      <c r="F4" s="516"/>
      <c r="G4" s="346" t="s">
        <v>230</v>
      </c>
      <c r="H4" s="346" t="s">
        <v>231</v>
      </c>
      <c r="I4" s="347" t="s">
        <v>232</v>
      </c>
    </row>
    <row r="5" spans="1:9" ht="15.75">
      <c r="A5" s="331" t="s">
        <v>123</v>
      </c>
      <c r="B5" s="348">
        <v>3</v>
      </c>
      <c r="C5" s="326">
        <v>15</v>
      </c>
      <c r="D5" s="326"/>
      <c r="E5" s="326"/>
      <c r="F5" s="326">
        <v>2</v>
      </c>
      <c r="G5" s="326">
        <v>10</v>
      </c>
      <c r="H5" s="326"/>
      <c r="I5" s="349"/>
    </row>
    <row r="6" spans="1:9" ht="15.75">
      <c r="A6" s="331" t="s">
        <v>143</v>
      </c>
      <c r="B6" s="350">
        <v>3</v>
      </c>
      <c r="C6" s="350">
        <v>22</v>
      </c>
      <c r="D6" s="350"/>
      <c r="E6" s="350"/>
      <c r="F6" s="350">
        <v>4</v>
      </c>
      <c r="G6" s="350">
        <v>20</v>
      </c>
      <c r="H6" s="350"/>
      <c r="I6" s="350"/>
    </row>
    <row r="7" spans="1:9" ht="15.75">
      <c r="A7" s="331" t="s">
        <v>640</v>
      </c>
      <c r="B7" s="350">
        <v>2</v>
      </c>
      <c r="C7" s="350">
        <v>33</v>
      </c>
      <c r="D7" s="350"/>
      <c r="E7" s="350"/>
      <c r="F7" s="350">
        <v>10</v>
      </c>
      <c r="G7" s="350">
        <v>55</v>
      </c>
      <c r="H7" s="350"/>
      <c r="I7" s="350"/>
    </row>
    <row r="8" spans="1:9" ht="15.75">
      <c r="A8" s="331" t="s">
        <v>176</v>
      </c>
      <c r="B8" s="351">
        <v>2</v>
      </c>
      <c r="C8" s="351">
        <v>14</v>
      </c>
      <c r="D8" s="351"/>
      <c r="E8" s="351"/>
      <c r="F8" s="351">
        <v>2</v>
      </c>
      <c r="G8" s="351">
        <v>10</v>
      </c>
      <c r="H8" s="351"/>
      <c r="I8" s="351"/>
    </row>
    <row r="9" spans="1:9" ht="15.75">
      <c r="A9" s="352" t="s">
        <v>133</v>
      </c>
      <c r="B9" s="351">
        <v>2</v>
      </c>
      <c r="C9" s="351">
        <v>15</v>
      </c>
      <c r="D9" s="351"/>
      <c r="E9" s="351"/>
      <c r="F9" s="351">
        <v>2</v>
      </c>
      <c r="G9" s="351">
        <v>6</v>
      </c>
      <c r="H9" s="351"/>
      <c r="I9" s="351"/>
    </row>
    <row r="10" spans="1:9" ht="15.75">
      <c r="A10" s="351"/>
      <c r="B10" s="351"/>
      <c r="C10" s="351"/>
      <c r="D10" s="351"/>
      <c r="E10" s="351"/>
      <c r="F10" s="351"/>
      <c r="G10" s="351">
        <f>SUM(G5:G9)</f>
        <v>101</v>
      </c>
      <c r="H10" s="351"/>
      <c r="I10" s="351"/>
    </row>
    <row r="11" spans="1:9" ht="15.75">
      <c r="A11" s="353"/>
      <c r="B11" s="335">
        <v>12</v>
      </c>
      <c r="C11" s="335">
        <f>SUM(C5:C10)</f>
        <v>99</v>
      </c>
      <c r="D11" s="335"/>
      <c r="E11" s="335"/>
      <c r="F11" s="335">
        <f>SUM(F5:F10)</f>
        <v>20</v>
      </c>
      <c r="G11" s="335">
        <v>101</v>
      </c>
      <c r="H11" s="335"/>
      <c r="I11" s="335"/>
    </row>
    <row r="12" spans="1:9" ht="15.75">
      <c r="A12" s="354"/>
      <c r="B12" s="355"/>
      <c r="C12" s="355"/>
      <c r="D12" s="355"/>
      <c r="E12" s="355"/>
      <c r="F12" s="355"/>
      <c r="G12" s="355"/>
      <c r="H12" s="355"/>
      <c r="I12" s="355"/>
    </row>
    <row r="13" spans="1:9" ht="16.5" thickBot="1">
      <c r="A13" s="356" t="s">
        <v>233</v>
      </c>
      <c r="B13" s="355"/>
      <c r="C13" s="355"/>
      <c r="D13" s="355"/>
      <c r="E13" s="355"/>
      <c r="F13" s="355"/>
      <c r="G13" s="355"/>
      <c r="H13" s="355"/>
      <c r="I13" s="355"/>
    </row>
    <row r="14" spans="1:9" ht="15.75">
      <c r="A14" s="518" t="s">
        <v>36</v>
      </c>
      <c r="B14" s="520" t="s">
        <v>642</v>
      </c>
      <c r="C14" s="512" t="s">
        <v>643</v>
      </c>
      <c r="D14" s="513"/>
      <c r="E14" s="514"/>
      <c r="F14" s="515" t="s">
        <v>644</v>
      </c>
      <c r="G14" s="512" t="s">
        <v>645</v>
      </c>
      <c r="H14" s="513"/>
      <c r="I14" s="517"/>
    </row>
    <row r="15" spans="1:9" ht="48" thickBot="1">
      <c r="A15" s="519"/>
      <c r="B15" s="521"/>
      <c r="C15" s="346" t="s">
        <v>230</v>
      </c>
      <c r="D15" s="346" t="s">
        <v>231</v>
      </c>
      <c r="E15" s="346" t="s">
        <v>232</v>
      </c>
      <c r="F15" s="516"/>
      <c r="G15" s="346" t="s">
        <v>230</v>
      </c>
      <c r="H15" s="346" t="s">
        <v>231</v>
      </c>
      <c r="I15" s="347" t="s">
        <v>232</v>
      </c>
    </row>
    <row r="16" spans="1:9" ht="15.75">
      <c r="A16" s="331" t="s">
        <v>123</v>
      </c>
      <c r="B16" s="357">
        <v>4</v>
      </c>
      <c r="C16" s="358">
        <v>30</v>
      </c>
      <c r="D16" s="358">
        <v>0</v>
      </c>
      <c r="E16" s="358">
        <v>0</v>
      </c>
      <c r="F16" s="358">
        <v>7</v>
      </c>
      <c r="G16" s="358">
        <v>36</v>
      </c>
      <c r="H16" s="358"/>
      <c r="I16" s="349"/>
    </row>
    <row r="17" spans="1:9" ht="15.75">
      <c r="A17" s="331" t="s">
        <v>143</v>
      </c>
      <c r="B17" s="359">
        <v>1</v>
      </c>
      <c r="C17" s="360">
        <v>6</v>
      </c>
      <c r="D17" s="358">
        <v>0</v>
      </c>
      <c r="E17" s="358">
        <v>0</v>
      </c>
      <c r="F17" s="360">
        <v>2</v>
      </c>
      <c r="G17" s="360">
        <v>8</v>
      </c>
      <c r="H17" s="361"/>
      <c r="I17" s="362"/>
    </row>
    <row r="18" spans="1:9" ht="15.75">
      <c r="A18" s="331" t="s">
        <v>640</v>
      </c>
      <c r="B18" s="359">
        <v>1</v>
      </c>
      <c r="C18" s="360">
        <v>12</v>
      </c>
      <c r="D18" s="358">
        <v>0</v>
      </c>
      <c r="E18" s="358">
        <v>0</v>
      </c>
      <c r="F18" s="360">
        <v>2</v>
      </c>
      <c r="G18" s="360">
        <v>8</v>
      </c>
      <c r="H18" s="363"/>
      <c r="I18" s="350"/>
    </row>
    <row r="19" spans="1:9" ht="15.75">
      <c r="A19" s="331" t="s">
        <v>176</v>
      </c>
      <c r="B19" s="359">
        <v>3</v>
      </c>
      <c r="C19" s="360">
        <v>17</v>
      </c>
      <c r="D19" s="358">
        <v>0</v>
      </c>
      <c r="E19" s="358">
        <v>0</v>
      </c>
      <c r="F19" s="360">
        <v>1</v>
      </c>
      <c r="G19" s="360">
        <v>4</v>
      </c>
      <c r="H19" s="364"/>
      <c r="I19" s="351"/>
    </row>
    <row r="20" spans="1:9" ht="15.75">
      <c r="A20" s="352" t="s">
        <v>133</v>
      </c>
      <c r="B20" s="359">
        <v>2</v>
      </c>
      <c r="C20" s="360">
        <v>22</v>
      </c>
      <c r="D20" s="358">
        <v>0</v>
      </c>
      <c r="E20" s="358">
        <v>0</v>
      </c>
      <c r="F20" s="360">
        <v>0</v>
      </c>
      <c r="G20" s="360">
        <v>0</v>
      </c>
      <c r="H20" s="364"/>
      <c r="I20" s="351"/>
    </row>
    <row r="21" spans="1:9" ht="15.75">
      <c r="A21" s="365" t="s">
        <v>646</v>
      </c>
      <c r="B21" s="366">
        <f>SUM(B16:B20)</f>
        <v>11</v>
      </c>
      <c r="C21" s="367">
        <f>SUM(C16:C20)</f>
        <v>87</v>
      </c>
      <c r="D21" s="368">
        <v>0</v>
      </c>
      <c r="E21" s="368">
        <v>0</v>
      </c>
      <c r="F21" s="367">
        <f>SUM(F16:F20)</f>
        <v>12</v>
      </c>
      <c r="G21" s="367">
        <f>SUM(G16:G20)</f>
        <v>56</v>
      </c>
      <c r="H21" s="369"/>
      <c r="I21" s="370"/>
    </row>
    <row r="22" spans="1:9" ht="15.75">
      <c r="A22" s="353"/>
      <c r="B22" s="371"/>
      <c r="C22" s="371"/>
      <c r="D22" s="371"/>
      <c r="E22" s="371"/>
      <c r="F22" s="371"/>
      <c r="G22" s="371"/>
      <c r="H22" s="371"/>
      <c r="I22" s="372"/>
    </row>
    <row r="23" spans="1:9" ht="15.75">
      <c r="A23" s="355"/>
      <c r="B23" s="373"/>
      <c r="C23" s="373"/>
      <c r="D23" s="373"/>
      <c r="E23" s="373"/>
      <c r="F23" s="373"/>
      <c r="G23" s="373"/>
      <c r="H23" s="373"/>
      <c r="I23" s="354"/>
    </row>
    <row r="24" spans="1:9" ht="15.75">
      <c r="A24" s="372" t="s">
        <v>647</v>
      </c>
      <c r="B24" s="335">
        <v>1</v>
      </c>
      <c r="C24" s="335">
        <v>12</v>
      </c>
      <c r="D24" s="335">
        <v>0</v>
      </c>
      <c r="E24" s="335">
        <v>0</v>
      </c>
      <c r="F24" s="335">
        <v>8</v>
      </c>
      <c r="G24" s="335">
        <v>45</v>
      </c>
      <c r="H24" s="335">
        <v>0</v>
      </c>
      <c r="I24" s="335">
        <v>0</v>
      </c>
    </row>
    <row r="25" spans="1:9" ht="15.75">
      <c r="A25" s="374" t="s">
        <v>648</v>
      </c>
      <c r="B25" s="375">
        <v>9.09</v>
      </c>
      <c r="C25" s="375">
        <v>13.79</v>
      </c>
      <c r="D25" s="375">
        <v>0</v>
      </c>
      <c r="E25" s="375">
        <v>0</v>
      </c>
      <c r="F25" s="375">
        <v>66.66</v>
      </c>
      <c r="G25" s="375">
        <v>80.35</v>
      </c>
      <c r="H25" s="375">
        <v>0</v>
      </c>
      <c r="I25" s="375">
        <v>0</v>
      </c>
    </row>
  </sheetData>
  <mergeCells count="11">
    <mergeCell ref="G14:I14"/>
    <mergeCell ref="A14:A15"/>
    <mergeCell ref="B14:B15"/>
    <mergeCell ref="C14:E14"/>
    <mergeCell ref="F14:F15"/>
    <mergeCell ref="A1:I1"/>
    <mergeCell ref="A3:A4"/>
    <mergeCell ref="B3:B4"/>
    <mergeCell ref="C3:E3"/>
    <mergeCell ref="F3:F4"/>
    <mergeCell ref="G3:I3"/>
  </mergeCells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9"/>
  <sheetViews>
    <sheetView zoomScaleSheetLayoutView="100" zoomScalePageLayoutView="0" workbookViewId="0" topLeftCell="A1">
      <selection activeCell="A1" sqref="A1:F1"/>
    </sheetView>
  </sheetViews>
  <sheetFormatPr defaultColWidth="9.00390625" defaultRowHeight="15.75"/>
  <cols>
    <col min="1" max="6" width="12.625" style="0" customWidth="1"/>
  </cols>
  <sheetData>
    <row r="1" spans="1:6" ht="45" customHeight="1">
      <c r="A1" s="495" t="s">
        <v>114</v>
      </c>
      <c r="B1" s="495"/>
      <c r="C1" s="495"/>
      <c r="D1" s="495"/>
      <c r="E1" s="495"/>
      <c r="F1" s="495"/>
    </row>
    <row r="2" spans="1:7" ht="107.25" customHeight="1">
      <c r="A2" s="16" t="s">
        <v>60</v>
      </c>
      <c r="B2" s="16" t="s">
        <v>61</v>
      </c>
      <c r="C2" s="16" t="s">
        <v>62</v>
      </c>
      <c r="D2" s="16" t="s">
        <v>101</v>
      </c>
      <c r="E2" s="16" t="s">
        <v>102</v>
      </c>
      <c r="F2" s="16" t="s">
        <v>103</v>
      </c>
      <c r="G2" s="1"/>
    </row>
    <row r="3" spans="1:6" ht="21" customHeight="1">
      <c r="A3" s="21" t="s">
        <v>110</v>
      </c>
      <c r="B3" s="3">
        <v>1532</v>
      </c>
      <c r="C3" s="3">
        <v>1289</v>
      </c>
      <c r="D3" s="3">
        <v>379</v>
      </c>
      <c r="E3" s="3">
        <v>121</v>
      </c>
      <c r="F3" s="3">
        <v>104</v>
      </c>
    </row>
    <row r="4" spans="1:6" ht="24.75" customHeight="1">
      <c r="A4" s="21" t="s">
        <v>111</v>
      </c>
      <c r="B4" s="3">
        <v>1210</v>
      </c>
      <c r="C4" s="3">
        <v>1200</v>
      </c>
      <c r="D4" s="3">
        <v>356</v>
      </c>
      <c r="E4" s="3">
        <v>73</v>
      </c>
      <c r="F4" s="3">
        <v>105</v>
      </c>
    </row>
    <row r="5" spans="1:6" ht="19.5" customHeight="1">
      <c r="A5" s="21" t="s">
        <v>112</v>
      </c>
      <c r="B5" s="3">
        <f>11+35+13+3+12</f>
        <v>74</v>
      </c>
      <c r="C5" s="3">
        <f>11+32+11+2+11</f>
        <v>67</v>
      </c>
      <c r="D5" s="3">
        <f>10+21+11+2+11</f>
        <v>55</v>
      </c>
      <c r="E5" s="3">
        <v>0</v>
      </c>
      <c r="F5" s="3">
        <f>10+2</f>
        <v>12</v>
      </c>
    </row>
    <row r="6" spans="1:6" ht="21" customHeight="1">
      <c r="A6" s="21" t="s">
        <v>113</v>
      </c>
      <c r="B6" s="12">
        <f>15+42+13+71+0</f>
        <v>141</v>
      </c>
      <c r="C6" s="12">
        <f>14+18+13+0+50</f>
        <v>95</v>
      </c>
      <c r="D6" s="12">
        <f>0+5+0+0+0</f>
        <v>5</v>
      </c>
      <c r="E6" s="12">
        <v>0</v>
      </c>
      <c r="F6" s="12">
        <v>0</v>
      </c>
    </row>
    <row r="7" spans="1:6" ht="18.75" customHeight="1">
      <c r="A7" s="82" t="s">
        <v>40</v>
      </c>
      <c r="B7" s="39">
        <f>SUM(B3:B6)</f>
        <v>2957</v>
      </c>
      <c r="C7" s="39">
        <f>SUM(C3:C6)</f>
        <v>2651</v>
      </c>
      <c r="D7" s="39">
        <f>SUM(D3:D6)</f>
        <v>795</v>
      </c>
      <c r="E7" s="39">
        <f>SUM(E3:E6)</f>
        <v>194</v>
      </c>
      <c r="F7" s="39">
        <f>SUM(F3:F6)</f>
        <v>221</v>
      </c>
    </row>
    <row r="8" spans="5:6" ht="15.75">
      <c r="E8" s="14"/>
      <c r="F8" s="14"/>
    </row>
    <row r="9" ht="15.75">
      <c r="A9" s="14"/>
    </row>
  </sheetData>
  <sheetProtection/>
  <mergeCells count="1">
    <mergeCell ref="A1:F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0">
      <selection activeCell="B12" sqref="B12"/>
    </sheetView>
  </sheetViews>
  <sheetFormatPr defaultColWidth="9.00390625" defaultRowHeight="15.75"/>
  <cols>
    <col min="1" max="1" width="21.625" style="0" customWidth="1"/>
    <col min="2" max="2" width="13.00390625" style="0" customWidth="1"/>
    <col min="3" max="3" width="11.25390625" style="0" customWidth="1"/>
    <col min="4" max="4" width="14.125" style="0" customWidth="1"/>
  </cols>
  <sheetData>
    <row r="1" spans="1:9" ht="18.75">
      <c r="A1" s="522" t="s">
        <v>679</v>
      </c>
      <c r="B1" s="522"/>
      <c r="C1" s="522"/>
      <c r="D1" s="522"/>
      <c r="E1" s="522"/>
      <c r="F1" s="522"/>
      <c r="G1" s="522"/>
      <c r="H1" s="522"/>
      <c r="I1" s="522"/>
    </row>
    <row r="2" spans="1:9" ht="16.5" thickBot="1">
      <c r="A2" s="385" t="s">
        <v>650</v>
      </c>
      <c r="B2" s="386"/>
      <c r="C2" s="386"/>
      <c r="D2" s="386"/>
      <c r="E2" s="386"/>
      <c r="F2" s="386"/>
      <c r="G2" s="386"/>
      <c r="H2" s="386"/>
      <c r="I2" s="386"/>
    </row>
    <row r="3" spans="1:9" ht="79.5" thickBot="1">
      <c r="A3" s="387" t="s">
        <v>680</v>
      </c>
      <c r="B3" s="56" t="s">
        <v>681</v>
      </c>
      <c r="C3" s="56" t="s">
        <v>682</v>
      </c>
      <c r="D3" s="388" t="s">
        <v>683</v>
      </c>
      <c r="E3" s="56" t="s">
        <v>684</v>
      </c>
      <c r="F3" s="56" t="s">
        <v>685</v>
      </c>
      <c r="G3" s="56" t="s">
        <v>686</v>
      </c>
      <c r="H3" s="388" t="s">
        <v>622</v>
      </c>
      <c r="I3" s="389" t="s">
        <v>40</v>
      </c>
    </row>
    <row r="4" spans="1:9" ht="15.75">
      <c r="A4" s="263" t="s">
        <v>687</v>
      </c>
      <c r="B4" s="263">
        <v>16</v>
      </c>
      <c r="C4" s="263">
        <v>7</v>
      </c>
      <c r="D4" s="263">
        <v>14</v>
      </c>
      <c r="E4" s="263">
        <v>2</v>
      </c>
      <c r="F4" s="263">
        <v>6</v>
      </c>
      <c r="G4" s="263">
        <v>0</v>
      </c>
      <c r="H4" s="263">
        <v>337</v>
      </c>
      <c r="I4" s="263">
        <v>382</v>
      </c>
    </row>
    <row r="5" spans="1:9" ht="15.75">
      <c r="A5" s="265" t="s">
        <v>688</v>
      </c>
      <c r="B5" s="265">
        <v>15</v>
      </c>
      <c r="C5" s="265">
        <v>43</v>
      </c>
      <c r="D5" s="265">
        <v>25</v>
      </c>
      <c r="E5" s="265">
        <v>13</v>
      </c>
      <c r="F5" s="265">
        <v>3</v>
      </c>
      <c r="G5" s="265">
        <v>0</v>
      </c>
      <c r="H5" s="265">
        <v>540</v>
      </c>
      <c r="I5" s="265">
        <v>639</v>
      </c>
    </row>
    <row r="6" spans="1:9" ht="15.75">
      <c r="A6" s="265" t="s">
        <v>344</v>
      </c>
      <c r="B6" s="265">
        <v>3</v>
      </c>
      <c r="C6" s="265">
        <v>8</v>
      </c>
      <c r="D6" s="265">
        <v>9</v>
      </c>
      <c r="E6" s="265">
        <v>4</v>
      </c>
      <c r="F6" s="265">
        <v>0</v>
      </c>
      <c r="G6" s="265">
        <v>0</v>
      </c>
      <c r="H6" s="265">
        <v>478</v>
      </c>
      <c r="I6" s="265">
        <v>502</v>
      </c>
    </row>
    <row r="7" spans="1:9" ht="15.75">
      <c r="A7" s="265" t="s">
        <v>689</v>
      </c>
      <c r="B7" s="265">
        <v>2</v>
      </c>
      <c r="C7" s="265">
        <v>2</v>
      </c>
      <c r="D7" s="265">
        <v>3</v>
      </c>
      <c r="E7" s="265">
        <v>0</v>
      </c>
      <c r="F7" s="265">
        <v>1</v>
      </c>
      <c r="G7" s="265">
        <v>0</v>
      </c>
      <c r="H7" s="265">
        <v>128</v>
      </c>
      <c r="I7" s="265">
        <v>136</v>
      </c>
    </row>
    <row r="8" spans="1:9" ht="15.75">
      <c r="A8" s="265" t="s">
        <v>690</v>
      </c>
      <c r="B8" s="265">
        <v>7</v>
      </c>
      <c r="C8" s="265">
        <v>13</v>
      </c>
      <c r="D8" s="265">
        <v>18</v>
      </c>
      <c r="E8" s="265">
        <v>0</v>
      </c>
      <c r="F8" s="265">
        <v>0</v>
      </c>
      <c r="G8" s="265">
        <v>0</v>
      </c>
      <c r="H8" s="265">
        <v>368</v>
      </c>
      <c r="I8" s="265">
        <v>406</v>
      </c>
    </row>
    <row r="9" spans="1:9" ht="15.75">
      <c r="A9" s="265" t="s">
        <v>691</v>
      </c>
      <c r="B9" s="265">
        <v>1</v>
      </c>
      <c r="C9" s="265">
        <v>0</v>
      </c>
      <c r="D9" s="265">
        <v>1</v>
      </c>
      <c r="E9" s="265">
        <v>0</v>
      </c>
      <c r="F9" s="265">
        <v>0</v>
      </c>
      <c r="G9" s="265">
        <v>0</v>
      </c>
      <c r="H9" s="265">
        <v>14</v>
      </c>
      <c r="I9" s="265">
        <v>16</v>
      </c>
    </row>
    <row r="10" spans="1:9" ht="15.75">
      <c r="A10" s="265" t="s">
        <v>692</v>
      </c>
      <c r="B10" s="265">
        <v>0</v>
      </c>
      <c r="C10" s="265">
        <v>0</v>
      </c>
      <c r="D10" s="265">
        <v>0</v>
      </c>
      <c r="E10" s="265">
        <v>0</v>
      </c>
      <c r="F10" s="265">
        <v>0</v>
      </c>
      <c r="G10" s="265">
        <v>0</v>
      </c>
      <c r="H10" s="265">
        <v>0</v>
      </c>
      <c r="I10" s="265">
        <v>0</v>
      </c>
    </row>
    <row r="11" spans="1:9" ht="15.75">
      <c r="A11" s="265" t="s">
        <v>693</v>
      </c>
      <c r="B11" s="265">
        <v>0</v>
      </c>
      <c r="C11" s="265">
        <v>0</v>
      </c>
      <c r="D11" s="265">
        <v>0</v>
      </c>
      <c r="E11" s="265">
        <v>0</v>
      </c>
      <c r="F11" s="265">
        <v>0</v>
      </c>
      <c r="G11" s="265">
        <v>0</v>
      </c>
      <c r="H11" s="265">
        <v>1</v>
      </c>
      <c r="I11" s="265">
        <v>1</v>
      </c>
    </row>
    <row r="12" spans="1:9" ht="15.75">
      <c r="A12" s="151" t="s">
        <v>40</v>
      </c>
      <c r="B12" s="151">
        <f>SUM(B4:B11)</f>
        <v>44</v>
      </c>
      <c r="C12" s="151">
        <f aca="true" t="shared" si="0" ref="C12:I12">SUM(C4:C11)</f>
        <v>73</v>
      </c>
      <c r="D12" s="151">
        <f t="shared" si="0"/>
        <v>70</v>
      </c>
      <c r="E12" s="151">
        <f t="shared" si="0"/>
        <v>19</v>
      </c>
      <c r="F12" s="151">
        <f t="shared" si="0"/>
        <v>10</v>
      </c>
      <c r="G12" s="151">
        <f t="shared" si="0"/>
        <v>0</v>
      </c>
      <c r="H12" s="151">
        <f t="shared" si="0"/>
        <v>1866</v>
      </c>
      <c r="I12" s="151">
        <f t="shared" si="0"/>
        <v>2082</v>
      </c>
    </row>
    <row r="13" spans="1:9" ht="15.75">
      <c r="A13" s="47"/>
      <c r="B13" s="47"/>
      <c r="C13" s="47"/>
      <c r="D13" s="47"/>
      <c r="E13" s="47"/>
      <c r="F13" s="47"/>
      <c r="G13" s="47"/>
      <c r="H13" s="47"/>
      <c r="I13" s="47"/>
    </row>
    <row r="14" spans="1:9" ht="16.5" thickBot="1">
      <c r="A14" s="385" t="s">
        <v>667</v>
      </c>
      <c r="B14" s="47"/>
      <c r="C14" s="47"/>
      <c r="D14" s="47"/>
      <c r="E14" s="47"/>
      <c r="F14" s="47"/>
      <c r="G14" s="47"/>
      <c r="H14" s="47"/>
      <c r="I14" s="47"/>
    </row>
    <row r="15" spans="1:9" ht="79.5" thickBot="1">
      <c r="A15" s="387" t="s">
        <v>680</v>
      </c>
      <c r="B15" s="390" t="s">
        <v>681</v>
      </c>
      <c r="C15" s="390" t="s">
        <v>682</v>
      </c>
      <c r="D15" s="391" t="s">
        <v>683</v>
      </c>
      <c r="E15" s="390" t="s">
        <v>684</v>
      </c>
      <c r="F15" s="390" t="s">
        <v>685</v>
      </c>
      <c r="G15" s="390" t="s">
        <v>686</v>
      </c>
      <c r="H15" s="388" t="s">
        <v>622</v>
      </c>
      <c r="I15" s="389" t="s">
        <v>40</v>
      </c>
    </row>
    <row r="16" spans="1:9" ht="15.75">
      <c r="A16" s="263" t="s">
        <v>687</v>
      </c>
      <c r="B16" s="318">
        <v>15</v>
      </c>
      <c r="C16" s="318">
        <v>11</v>
      </c>
      <c r="D16" s="318">
        <v>26</v>
      </c>
      <c r="E16" s="318">
        <v>1</v>
      </c>
      <c r="F16" s="318">
        <v>0</v>
      </c>
      <c r="G16" s="318">
        <v>0</v>
      </c>
      <c r="H16" s="318">
        <v>332</v>
      </c>
      <c r="I16" s="318">
        <v>385</v>
      </c>
    </row>
    <row r="17" spans="1:9" ht="15.75">
      <c r="A17" s="265" t="s">
        <v>688</v>
      </c>
      <c r="B17" s="318">
        <v>11</v>
      </c>
      <c r="C17" s="318">
        <v>54</v>
      </c>
      <c r="D17" s="318">
        <v>27</v>
      </c>
      <c r="E17" s="318">
        <v>12</v>
      </c>
      <c r="F17" s="318">
        <v>0</v>
      </c>
      <c r="G17" s="318">
        <v>0</v>
      </c>
      <c r="H17" s="318">
        <v>441</v>
      </c>
      <c r="I17" s="318">
        <v>545</v>
      </c>
    </row>
    <row r="18" spans="1:9" ht="15.75">
      <c r="A18" s="265" t="s">
        <v>344</v>
      </c>
      <c r="B18" s="318">
        <v>1</v>
      </c>
      <c r="C18" s="318">
        <v>6</v>
      </c>
      <c r="D18" s="318">
        <v>21</v>
      </c>
      <c r="E18" s="318">
        <v>5</v>
      </c>
      <c r="F18" s="318">
        <v>1</v>
      </c>
      <c r="G18" s="318">
        <v>0</v>
      </c>
      <c r="H18" s="318">
        <v>499</v>
      </c>
      <c r="I18" s="318">
        <v>533</v>
      </c>
    </row>
    <row r="19" spans="1:9" ht="15.75">
      <c r="A19" s="265" t="s">
        <v>689</v>
      </c>
      <c r="B19" s="333">
        <v>5</v>
      </c>
      <c r="C19" s="333">
        <v>4</v>
      </c>
      <c r="D19" s="333">
        <v>6</v>
      </c>
      <c r="E19" s="333">
        <v>1</v>
      </c>
      <c r="F19" s="333">
        <v>0</v>
      </c>
      <c r="G19" s="333">
        <v>0</v>
      </c>
      <c r="H19" s="333">
        <v>84</v>
      </c>
      <c r="I19" s="333">
        <v>100</v>
      </c>
    </row>
    <row r="20" spans="1:9" ht="15.75">
      <c r="A20" s="265" t="s">
        <v>690</v>
      </c>
      <c r="B20" s="392">
        <v>9</v>
      </c>
      <c r="C20" s="392">
        <v>27</v>
      </c>
      <c r="D20" s="392">
        <v>6</v>
      </c>
      <c r="E20" s="392">
        <v>0</v>
      </c>
      <c r="F20" s="392">
        <v>0</v>
      </c>
      <c r="G20" s="392">
        <v>0</v>
      </c>
      <c r="H20" s="392">
        <v>280</v>
      </c>
      <c r="I20" s="392">
        <v>322</v>
      </c>
    </row>
    <row r="21" spans="1:9" ht="15.75">
      <c r="A21" s="265" t="s">
        <v>691</v>
      </c>
      <c r="B21" s="265">
        <v>1</v>
      </c>
      <c r="C21" s="265">
        <v>0</v>
      </c>
      <c r="D21" s="265">
        <v>3</v>
      </c>
      <c r="E21" s="265">
        <v>0</v>
      </c>
      <c r="F21" s="265">
        <v>0</v>
      </c>
      <c r="G21" s="265">
        <v>0</v>
      </c>
      <c r="H21" s="265">
        <v>0</v>
      </c>
      <c r="I21" s="265">
        <v>20</v>
      </c>
    </row>
    <row r="22" spans="1:9" ht="15.75">
      <c r="A22" s="265" t="s">
        <v>692</v>
      </c>
      <c r="B22" s="265">
        <v>1</v>
      </c>
      <c r="C22" s="265">
        <v>0</v>
      </c>
      <c r="D22" s="265">
        <v>0</v>
      </c>
      <c r="E22" s="265">
        <v>0</v>
      </c>
      <c r="F22" s="265">
        <v>0</v>
      </c>
      <c r="G22" s="265">
        <v>0</v>
      </c>
      <c r="H22" s="265">
        <v>1</v>
      </c>
      <c r="I22" s="265">
        <v>1</v>
      </c>
    </row>
    <row r="23" spans="1:9" ht="15.75">
      <c r="A23" s="265" t="s">
        <v>693</v>
      </c>
      <c r="B23" s="265">
        <v>0</v>
      </c>
      <c r="C23" s="265">
        <v>0</v>
      </c>
      <c r="D23" s="265">
        <v>0</v>
      </c>
      <c r="E23" s="265">
        <v>0</v>
      </c>
      <c r="F23" s="265">
        <v>0</v>
      </c>
      <c r="G23" s="265">
        <v>0</v>
      </c>
      <c r="H23" s="265">
        <v>0</v>
      </c>
      <c r="I23" s="265">
        <v>0</v>
      </c>
    </row>
    <row r="24" spans="1:9" ht="15.75">
      <c r="A24" s="151" t="s">
        <v>40</v>
      </c>
      <c r="B24" s="151">
        <f>SUM(B16:B23)</f>
        <v>43</v>
      </c>
      <c r="C24" s="151">
        <f aca="true" t="shared" si="1" ref="C24:I24">SUM(C16:C23)</f>
        <v>102</v>
      </c>
      <c r="D24" s="151">
        <f t="shared" si="1"/>
        <v>89</v>
      </c>
      <c r="E24" s="151">
        <f t="shared" si="1"/>
        <v>19</v>
      </c>
      <c r="F24" s="151">
        <f t="shared" si="1"/>
        <v>1</v>
      </c>
      <c r="G24" s="151">
        <f t="shared" si="1"/>
        <v>0</v>
      </c>
      <c r="H24" s="151">
        <f t="shared" si="1"/>
        <v>1637</v>
      </c>
      <c r="I24" s="151">
        <f t="shared" si="1"/>
        <v>1906</v>
      </c>
    </row>
    <row r="25" spans="1:9" ht="15.75">
      <c r="A25" s="47"/>
      <c r="B25" s="47"/>
      <c r="C25" s="47"/>
      <c r="D25" s="47"/>
      <c r="E25" s="47"/>
      <c r="F25" s="47"/>
      <c r="G25" s="47"/>
      <c r="H25" s="47"/>
      <c r="I25" s="47"/>
    </row>
    <row r="26" spans="1:9" ht="15.75">
      <c r="A26" s="151" t="s">
        <v>677</v>
      </c>
      <c r="B26" s="151">
        <f>+B12-B24</f>
        <v>1</v>
      </c>
      <c r="C26" s="151">
        <f aca="true" t="shared" si="2" ref="C26:I26">+C12-C24</f>
        <v>-29</v>
      </c>
      <c r="D26" s="151">
        <f t="shared" si="2"/>
        <v>-19</v>
      </c>
      <c r="E26" s="151">
        <f t="shared" si="2"/>
        <v>0</v>
      </c>
      <c r="F26" s="151">
        <f t="shared" si="2"/>
        <v>9</v>
      </c>
      <c r="G26" s="151">
        <f t="shared" si="2"/>
        <v>0</v>
      </c>
      <c r="H26" s="151">
        <f t="shared" si="2"/>
        <v>229</v>
      </c>
      <c r="I26" s="151">
        <f t="shared" si="2"/>
        <v>176</v>
      </c>
    </row>
    <row r="27" spans="1:9" ht="15.75">
      <c r="A27" s="152" t="s">
        <v>678</v>
      </c>
      <c r="B27" s="393">
        <v>2.33</v>
      </c>
      <c r="C27" s="393">
        <v>-28.43</v>
      </c>
      <c r="D27" s="393">
        <v>-21.35</v>
      </c>
      <c r="E27" s="393">
        <v>0</v>
      </c>
      <c r="F27" s="393">
        <v>900</v>
      </c>
      <c r="G27" s="393">
        <v>0</v>
      </c>
      <c r="H27" s="393">
        <v>13.99</v>
      </c>
      <c r="I27" s="393">
        <v>9.23</v>
      </c>
    </row>
  </sheetData>
  <mergeCells count="1">
    <mergeCell ref="A1:I1"/>
  </mergeCells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0">
      <selection activeCell="G16" sqref="G16"/>
    </sheetView>
  </sheetViews>
  <sheetFormatPr defaultColWidth="9.00390625" defaultRowHeight="15.75"/>
  <cols>
    <col min="1" max="1" width="19.50390625" style="0" customWidth="1"/>
    <col min="2" max="3" width="12.00390625" style="0" customWidth="1"/>
    <col min="4" max="4" width="15.00390625" style="0" customWidth="1"/>
  </cols>
  <sheetData>
    <row r="1" spans="1:4" ht="18.75">
      <c r="A1" s="523" t="s">
        <v>649</v>
      </c>
      <c r="B1" s="523"/>
      <c r="C1" s="523"/>
      <c r="D1" s="523"/>
    </row>
    <row r="2" spans="1:4" ht="19.5" thickBot="1">
      <c r="A2" s="147" t="s">
        <v>650</v>
      </c>
      <c r="B2" s="380"/>
      <c r="C2" s="380"/>
      <c r="D2" s="380"/>
    </row>
    <row r="3" spans="1:4" ht="16.5" thickBot="1">
      <c r="A3" s="259" t="s">
        <v>651</v>
      </c>
      <c r="B3" s="66" t="s">
        <v>652</v>
      </c>
      <c r="C3" s="66" t="s">
        <v>653</v>
      </c>
      <c r="D3" s="79" t="s">
        <v>654</v>
      </c>
    </row>
    <row r="4" spans="1:4" ht="15.75">
      <c r="A4" s="107" t="s">
        <v>117</v>
      </c>
      <c r="B4" s="381" t="s">
        <v>655</v>
      </c>
      <c r="C4" s="107"/>
      <c r="D4" s="107"/>
    </row>
    <row r="5" spans="1:4" ht="15.75">
      <c r="A5" s="107" t="s">
        <v>117</v>
      </c>
      <c r="B5" s="381" t="s">
        <v>656</v>
      </c>
      <c r="C5" s="107"/>
      <c r="D5" s="107"/>
    </row>
    <row r="6" spans="1:4" ht="15.75">
      <c r="A6" s="107" t="s">
        <v>117</v>
      </c>
      <c r="B6" s="381" t="s">
        <v>657</v>
      </c>
      <c r="C6" s="107"/>
      <c r="D6" s="107"/>
    </row>
    <row r="7" spans="1:4" ht="15.75">
      <c r="A7" s="107" t="s">
        <v>117</v>
      </c>
      <c r="B7" s="381" t="s">
        <v>658</v>
      </c>
      <c r="C7" s="107"/>
      <c r="D7" s="107"/>
    </row>
    <row r="8" spans="1:4" ht="15.75">
      <c r="A8" s="107" t="s">
        <v>117</v>
      </c>
      <c r="B8" s="381" t="s">
        <v>659</v>
      </c>
      <c r="C8" s="107"/>
      <c r="D8" s="107"/>
    </row>
    <row r="9" spans="1:4" ht="15.75">
      <c r="A9" s="107" t="s">
        <v>117</v>
      </c>
      <c r="B9" s="381" t="s">
        <v>660</v>
      </c>
      <c r="C9" s="107"/>
      <c r="D9" s="107"/>
    </row>
    <row r="10" spans="1:4" ht="15.75">
      <c r="A10" s="107" t="s">
        <v>117</v>
      </c>
      <c r="B10" s="381" t="s">
        <v>661</v>
      </c>
      <c r="C10" s="107"/>
      <c r="D10" s="107"/>
    </row>
    <row r="11" spans="1:4" ht="15.75">
      <c r="A11" s="107" t="s">
        <v>117</v>
      </c>
      <c r="B11" s="381" t="s">
        <v>662</v>
      </c>
      <c r="C11" s="107"/>
      <c r="D11" s="107"/>
    </row>
    <row r="12" spans="1:4" ht="15.75">
      <c r="A12" s="107" t="s">
        <v>117</v>
      </c>
      <c r="B12" s="381" t="s">
        <v>663</v>
      </c>
      <c r="C12" s="107"/>
      <c r="D12" s="107"/>
    </row>
    <row r="13" spans="1:4" ht="15.75">
      <c r="A13" s="107" t="s">
        <v>117</v>
      </c>
      <c r="B13" s="381" t="s">
        <v>664</v>
      </c>
      <c r="C13" s="107"/>
      <c r="D13" s="107"/>
    </row>
    <row r="14" spans="1:4" ht="15.75">
      <c r="A14" s="107" t="s">
        <v>117</v>
      </c>
      <c r="B14" s="381" t="s">
        <v>665</v>
      </c>
      <c r="C14" s="107"/>
      <c r="D14" s="107"/>
    </row>
    <row r="15" spans="1:4" ht="15.75">
      <c r="A15" s="107" t="s">
        <v>117</v>
      </c>
      <c r="B15" s="381" t="s">
        <v>666</v>
      </c>
      <c r="C15" s="107"/>
      <c r="D15" s="107"/>
    </row>
    <row r="16" spans="1:4" ht="15.75">
      <c r="A16" s="151" t="s">
        <v>40</v>
      </c>
      <c r="B16" s="151">
        <v>56</v>
      </c>
      <c r="C16" s="151">
        <f>SUM(C4:C15)</f>
        <v>0</v>
      </c>
      <c r="D16" s="151">
        <f>SUM(D4:D15)</f>
        <v>0</v>
      </c>
    </row>
    <row r="17" spans="1:4" ht="15.75">
      <c r="A17" s="6"/>
      <c r="B17" s="6"/>
      <c r="C17" s="6"/>
      <c r="D17" s="6"/>
    </row>
    <row r="18" spans="1:4" ht="15.75">
      <c r="A18" s="147" t="s">
        <v>667</v>
      </c>
      <c r="B18" s="6"/>
      <c r="C18" s="6"/>
      <c r="D18" s="6"/>
    </row>
    <row r="19" spans="1:4" ht="16.5" thickBot="1">
      <c r="A19" s="394" t="s">
        <v>651</v>
      </c>
      <c r="B19" s="395" t="s">
        <v>652</v>
      </c>
      <c r="C19" s="395" t="s">
        <v>653</v>
      </c>
      <c r="D19" s="396" t="s">
        <v>654</v>
      </c>
    </row>
    <row r="20" spans="1:4" ht="15.75">
      <c r="A20" s="3" t="s">
        <v>117</v>
      </c>
      <c r="B20" s="382" t="s">
        <v>668</v>
      </c>
      <c r="C20" s="383"/>
      <c r="D20" s="397"/>
    </row>
    <row r="21" spans="1:4" ht="15.75">
      <c r="A21" s="3" t="s">
        <v>117</v>
      </c>
      <c r="B21" s="382" t="s">
        <v>669</v>
      </c>
      <c r="C21" s="383"/>
      <c r="D21" s="397"/>
    </row>
    <row r="22" spans="1:4" ht="15.75">
      <c r="A22" s="3" t="s">
        <v>117</v>
      </c>
      <c r="B22" s="382" t="s">
        <v>670</v>
      </c>
      <c r="C22" s="383"/>
      <c r="D22" s="397"/>
    </row>
    <row r="23" spans="1:4" ht="15.75">
      <c r="A23" s="3" t="s">
        <v>117</v>
      </c>
      <c r="B23" s="382" t="s">
        <v>671</v>
      </c>
      <c r="C23" s="52"/>
      <c r="D23" s="52"/>
    </row>
    <row r="24" spans="1:4" ht="15.75">
      <c r="A24" s="3" t="s">
        <v>117</v>
      </c>
      <c r="B24" s="382" t="s">
        <v>672</v>
      </c>
      <c r="C24" s="3"/>
      <c r="D24" s="3"/>
    </row>
    <row r="25" spans="1:4" ht="15.75">
      <c r="A25" s="3" t="s">
        <v>117</v>
      </c>
      <c r="B25" s="382" t="s">
        <v>673</v>
      </c>
      <c r="C25" s="3"/>
      <c r="D25" s="3"/>
    </row>
    <row r="26" spans="1:4" ht="15.75">
      <c r="A26" s="3" t="s">
        <v>117</v>
      </c>
      <c r="B26" s="382" t="s">
        <v>674</v>
      </c>
      <c r="C26" s="3"/>
      <c r="D26" s="3"/>
    </row>
    <row r="27" spans="1:4" ht="15.75">
      <c r="A27" s="3" t="s">
        <v>117</v>
      </c>
      <c r="B27" s="382" t="s">
        <v>675</v>
      </c>
      <c r="C27" s="3"/>
      <c r="D27" s="3"/>
    </row>
    <row r="28" spans="1:4" ht="15.75">
      <c r="A28" s="3" t="s">
        <v>117</v>
      </c>
      <c r="B28" s="382" t="s">
        <v>676</v>
      </c>
      <c r="C28" s="3"/>
      <c r="D28" s="3"/>
    </row>
    <row r="29" spans="1:4" ht="15.75">
      <c r="A29" s="151" t="s">
        <v>40</v>
      </c>
      <c r="B29" s="151">
        <v>38</v>
      </c>
      <c r="C29" s="151">
        <f>SUM(C23:C28)</f>
        <v>0</v>
      </c>
      <c r="D29" s="151">
        <f>SUM(D23:D28)</f>
        <v>0</v>
      </c>
    </row>
    <row r="30" spans="1:4" ht="15.75">
      <c r="A30" s="398"/>
      <c r="B30" s="6"/>
      <c r="C30" s="6"/>
      <c r="D30" s="399"/>
    </row>
    <row r="31" spans="1:4" ht="15.75">
      <c r="A31" s="151" t="s">
        <v>677</v>
      </c>
      <c r="B31" s="151">
        <f>+B16-B29</f>
        <v>18</v>
      </c>
      <c r="C31" s="151">
        <f>+C16-C29</f>
        <v>0</v>
      </c>
      <c r="D31" s="151">
        <f>+D16-D29</f>
        <v>0</v>
      </c>
    </row>
    <row r="32" spans="1:4" ht="15.75">
      <c r="A32" s="152" t="s">
        <v>678</v>
      </c>
      <c r="B32" s="384">
        <v>47.37</v>
      </c>
      <c r="C32" s="384" t="e">
        <f>+_xlfn.IFERROR(C31/C29,0)*100</f>
        <v>#NAME?</v>
      </c>
      <c r="D32" s="384" t="e">
        <f>+_xlfn.IFERROR(D31/D29,0)*100</f>
        <v>#NAME?</v>
      </c>
    </row>
  </sheetData>
  <mergeCells count="1">
    <mergeCell ref="A1:D1"/>
  </mergeCells>
  <printOptions/>
  <pageMargins left="0.75" right="0.75" top="1" bottom="1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9"/>
  <sheetViews>
    <sheetView view="pageBreakPreview" zoomScaleSheetLayoutView="100" zoomScalePageLayoutView="0" workbookViewId="0" topLeftCell="A1">
      <selection activeCell="J10" sqref="J10"/>
    </sheetView>
  </sheetViews>
  <sheetFormatPr defaultColWidth="9.00390625" defaultRowHeight="15.75"/>
  <cols>
    <col min="1" max="1" width="27.25390625" style="102" bestFit="1" customWidth="1"/>
    <col min="2" max="2" width="21.875" style="102" customWidth="1"/>
    <col min="3" max="3" width="18.75390625" style="102" customWidth="1"/>
    <col min="4" max="4" width="12.25390625" style="102" customWidth="1"/>
    <col min="5" max="5" width="15.00390625" style="102" customWidth="1"/>
    <col min="6" max="6" width="8.75390625" style="102" customWidth="1"/>
    <col min="7" max="7" width="13.00390625" style="102" customWidth="1"/>
    <col min="8" max="16384" width="8.75390625" style="102" customWidth="1"/>
  </cols>
  <sheetData>
    <row r="1" spans="1:6" ht="41.25" customHeight="1">
      <c r="A1" s="476" t="s">
        <v>115</v>
      </c>
      <c r="B1" s="476"/>
      <c r="C1" s="476"/>
      <c r="D1" s="476"/>
      <c r="E1" s="476"/>
      <c r="F1" s="476"/>
    </row>
    <row r="2" ht="13.5" thickBot="1">
      <c r="A2" s="124" t="s">
        <v>33</v>
      </c>
    </row>
    <row r="3" spans="1:6" ht="26.25" thickBot="1">
      <c r="A3" s="125" t="s">
        <v>36</v>
      </c>
      <c r="B3" s="126" t="s">
        <v>59</v>
      </c>
      <c r="C3" s="126" t="s">
        <v>82</v>
      </c>
      <c r="D3" s="126" t="s">
        <v>80</v>
      </c>
      <c r="E3" s="126" t="s">
        <v>63</v>
      </c>
      <c r="F3" s="127" t="s">
        <v>64</v>
      </c>
    </row>
    <row r="4" spans="1:6" ht="12.75" hidden="1">
      <c r="A4" s="128"/>
      <c r="B4" s="128"/>
      <c r="C4" s="128"/>
      <c r="D4" s="128"/>
      <c r="E4" s="128"/>
      <c r="F4" s="128"/>
    </row>
    <row r="5" spans="1:6" ht="12.75">
      <c r="A5" s="128" t="s">
        <v>123</v>
      </c>
      <c r="B5" s="128" t="s">
        <v>199</v>
      </c>
      <c r="C5" s="128" t="s">
        <v>199</v>
      </c>
      <c r="D5" s="128" t="s">
        <v>121</v>
      </c>
      <c r="E5" s="128" t="s">
        <v>124</v>
      </c>
      <c r="F5" s="128" t="s">
        <v>125</v>
      </c>
    </row>
    <row r="6" spans="1:6" ht="12.75">
      <c r="A6" s="128" t="s">
        <v>123</v>
      </c>
      <c r="B6" s="129" t="s">
        <v>200</v>
      </c>
      <c r="C6" s="129" t="s">
        <v>200</v>
      </c>
      <c r="D6" s="129" t="s">
        <v>121</v>
      </c>
      <c r="E6" s="129" t="s">
        <v>124</v>
      </c>
      <c r="F6" s="129" t="s">
        <v>125</v>
      </c>
    </row>
    <row r="7" spans="1:6" ht="12.75">
      <c r="A7" s="128" t="s">
        <v>123</v>
      </c>
      <c r="B7" s="129" t="s">
        <v>202</v>
      </c>
      <c r="C7" s="129" t="s">
        <v>202</v>
      </c>
      <c r="D7" s="129" t="s">
        <v>126</v>
      </c>
      <c r="E7" s="129" t="s">
        <v>124</v>
      </c>
      <c r="F7" s="129" t="s">
        <v>125</v>
      </c>
    </row>
    <row r="8" spans="1:6" ht="12.75">
      <c r="A8" s="128" t="s">
        <v>123</v>
      </c>
      <c r="B8" s="129" t="s">
        <v>204</v>
      </c>
      <c r="C8" s="129" t="s">
        <v>204</v>
      </c>
      <c r="D8" s="129" t="s">
        <v>126</v>
      </c>
      <c r="E8" s="129" t="s">
        <v>124</v>
      </c>
      <c r="F8" s="129" t="s">
        <v>125</v>
      </c>
    </row>
    <row r="9" spans="1:6" ht="12.75">
      <c r="A9" s="128" t="s">
        <v>123</v>
      </c>
      <c r="B9" s="129" t="s">
        <v>183</v>
      </c>
      <c r="C9" s="129" t="s">
        <v>183</v>
      </c>
      <c r="D9" s="129" t="s">
        <v>121</v>
      </c>
      <c r="E9" s="129" t="s">
        <v>124</v>
      </c>
      <c r="F9" s="129" t="s">
        <v>125</v>
      </c>
    </row>
    <row r="10" spans="1:6" ht="12.75">
      <c r="A10" s="128" t="s">
        <v>123</v>
      </c>
      <c r="B10" s="129" t="s">
        <v>205</v>
      </c>
      <c r="C10" s="129" t="s">
        <v>205</v>
      </c>
      <c r="D10" s="129" t="s">
        <v>121</v>
      </c>
      <c r="E10" s="129" t="s">
        <v>124</v>
      </c>
      <c r="F10" s="129" t="s">
        <v>125</v>
      </c>
    </row>
    <row r="11" spans="1:6" ht="12.75">
      <c r="A11" s="128" t="s">
        <v>123</v>
      </c>
      <c r="B11" s="129" t="s">
        <v>207</v>
      </c>
      <c r="C11" s="129" t="s">
        <v>207</v>
      </c>
      <c r="D11" s="129" t="s">
        <v>121</v>
      </c>
      <c r="E11" s="129" t="s">
        <v>124</v>
      </c>
      <c r="F11" s="129" t="s">
        <v>125</v>
      </c>
    </row>
    <row r="12" spans="1:6" ht="12.75">
      <c r="A12" s="128" t="s">
        <v>123</v>
      </c>
      <c r="B12" s="129" t="s">
        <v>208</v>
      </c>
      <c r="C12" s="129" t="s">
        <v>208</v>
      </c>
      <c r="D12" s="129" t="s">
        <v>126</v>
      </c>
      <c r="E12" s="129" t="s">
        <v>124</v>
      </c>
      <c r="F12" s="129" t="s">
        <v>125</v>
      </c>
    </row>
    <row r="13" spans="1:6" ht="12.75">
      <c r="A13" s="128" t="s">
        <v>133</v>
      </c>
      <c r="B13" s="128" t="s">
        <v>11</v>
      </c>
      <c r="C13" s="128" t="s">
        <v>11</v>
      </c>
      <c r="D13" s="129" t="s">
        <v>126</v>
      </c>
      <c r="E13" s="129" t="s">
        <v>124</v>
      </c>
      <c r="F13" s="128" t="s">
        <v>125</v>
      </c>
    </row>
    <row r="14" spans="1:6" ht="12.75">
      <c r="A14" s="129" t="s">
        <v>223</v>
      </c>
      <c r="B14" s="129" t="s">
        <v>139</v>
      </c>
      <c r="C14" s="129" t="s">
        <v>139</v>
      </c>
      <c r="D14" s="129" t="s">
        <v>126</v>
      </c>
      <c r="E14" s="129" t="s">
        <v>124</v>
      </c>
      <c r="F14" s="128" t="s">
        <v>125</v>
      </c>
    </row>
    <row r="15" spans="1:6" ht="25.5">
      <c r="A15" s="129" t="s">
        <v>198</v>
      </c>
      <c r="B15" s="145" t="s">
        <v>215</v>
      </c>
      <c r="C15" s="145" t="s">
        <v>215</v>
      </c>
      <c r="D15" s="129" t="s">
        <v>126</v>
      </c>
      <c r="E15" s="129" t="s">
        <v>124</v>
      </c>
      <c r="F15" s="128" t="s">
        <v>125</v>
      </c>
    </row>
    <row r="16" spans="1:6" s="130" customFormat="1" ht="12.75">
      <c r="A16" s="129" t="s">
        <v>198</v>
      </c>
      <c r="B16" s="129" t="s">
        <v>140</v>
      </c>
      <c r="C16" s="129" t="s">
        <v>140</v>
      </c>
      <c r="D16" s="129" t="s">
        <v>126</v>
      </c>
      <c r="E16" s="129" t="s">
        <v>124</v>
      </c>
      <c r="F16" s="128" t="s">
        <v>125</v>
      </c>
    </row>
    <row r="17" spans="1:6" ht="25.5">
      <c r="A17" s="129" t="s">
        <v>198</v>
      </c>
      <c r="B17" s="129" t="s">
        <v>140</v>
      </c>
      <c r="C17" s="145" t="s">
        <v>220</v>
      </c>
      <c r="D17" s="129" t="s">
        <v>126</v>
      </c>
      <c r="E17" s="129" t="s">
        <v>124</v>
      </c>
      <c r="F17" s="128" t="s">
        <v>125</v>
      </c>
    </row>
    <row r="18" spans="1:6" ht="12.75">
      <c r="A18" s="129" t="s">
        <v>198</v>
      </c>
      <c r="B18" s="129" t="s">
        <v>141</v>
      </c>
      <c r="C18" s="129" t="s">
        <v>141</v>
      </c>
      <c r="D18" s="129" t="s">
        <v>126</v>
      </c>
      <c r="E18" s="129" t="s">
        <v>124</v>
      </c>
      <c r="F18" s="128" t="s">
        <v>125</v>
      </c>
    </row>
    <row r="19" spans="1:6" ht="38.25">
      <c r="A19" s="131" t="s">
        <v>143</v>
      </c>
      <c r="B19" s="132" t="s">
        <v>168</v>
      </c>
      <c r="C19" s="132" t="s">
        <v>144</v>
      </c>
      <c r="D19" s="129" t="s">
        <v>126</v>
      </c>
      <c r="E19" s="129" t="s">
        <v>124</v>
      </c>
      <c r="F19" s="143" t="s">
        <v>125</v>
      </c>
    </row>
    <row r="20" spans="1:6" ht="38.25">
      <c r="A20" s="131" t="s">
        <v>143</v>
      </c>
      <c r="B20" s="132" t="s">
        <v>168</v>
      </c>
      <c r="C20" s="132" t="s">
        <v>145</v>
      </c>
      <c r="D20" s="129" t="s">
        <v>126</v>
      </c>
      <c r="E20" s="129" t="s">
        <v>124</v>
      </c>
      <c r="F20" s="143" t="s">
        <v>125</v>
      </c>
    </row>
    <row r="21" spans="1:6" ht="38.25">
      <c r="A21" s="131" t="s">
        <v>143</v>
      </c>
      <c r="B21" s="132" t="s">
        <v>168</v>
      </c>
      <c r="C21" s="132" t="s">
        <v>146</v>
      </c>
      <c r="D21" s="129" t="s">
        <v>126</v>
      </c>
      <c r="E21" s="129" t="s">
        <v>124</v>
      </c>
      <c r="F21" s="143" t="s">
        <v>125</v>
      </c>
    </row>
    <row r="22" spans="1:6" ht="25.5">
      <c r="A22" s="131" t="s">
        <v>143</v>
      </c>
      <c r="B22" s="132" t="s">
        <v>168</v>
      </c>
      <c r="C22" s="132" t="s">
        <v>147</v>
      </c>
      <c r="D22" s="129" t="s">
        <v>126</v>
      </c>
      <c r="E22" s="129" t="s">
        <v>124</v>
      </c>
      <c r="F22" s="143" t="s">
        <v>125</v>
      </c>
    </row>
    <row r="23" spans="1:6" ht="25.5">
      <c r="A23" s="131" t="s">
        <v>143</v>
      </c>
      <c r="B23" s="132" t="s">
        <v>168</v>
      </c>
      <c r="C23" s="132" t="s">
        <v>148</v>
      </c>
      <c r="D23" s="129" t="s">
        <v>126</v>
      </c>
      <c r="E23" s="129" t="s">
        <v>124</v>
      </c>
      <c r="F23" s="143" t="s">
        <v>125</v>
      </c>
    </row>
    <row r="24" spans="1:6" ht="25.5">
      <c r="A24" s="131" t="s">
        <v>143</v>
      </c>
      <c r="B24" s="132" t="s">
        <v>168</v>
      </c>
      <c r="C24" s="132" t="s">
        <v>149</v>
      </c>
      <c r="D24" s="129" t="s">
        <v>126</v>
      </c>
      <c r="E24" s="129" t="s">
        <v>124</v>
      </c>
      <c r="F24" s="143" t="s">
        <v>125</v>
      </c>
    </row>
    <row r="25" spans="1:6" ht="25.5">
      <c r="A25" s="131" t="s">
        <v>143</v>
      </c>
      <c r="B25" s="132" t="s">
        <v>168</v>
      </c>
      <c r="C25" s="132" t="s">
        <v>150</v>
      </c>
      <c r="D25" s="129" t="s">
        <v>126</v>
      </c>
      <c r="E25" s="129" t="s">
        <v>124</v>
      </c>
      <c r="F25" s="143" t="s">
        <v>125</v>
      </c>
    </row>
    <row r="26" spans="1:6" ht="25.5">
      <c r="A26" s="131" t="s">
        <v>143</v>
      </c>
      <c r="B26" s="132" t="s">
        <v>168</v>
      </c>
      <c r="C26" s="132" t="s">
        <v>151</v>
      </c>
      <c r="D26" s="129" t="s">
        <v>126</v>
      </c>
      <c r="E26" s="129" t="s">
        <v>124</v>
      </c>
      <c r="F26" s="143" t="s">
        <v>125</v>
      </c>
    </row>
    <row r="27" spans="1:6" ht="38.25">
      <c r="A27" s="131" t="s">
        <v>143</v>
      </c>
      <c r="B27" s="132" t="s">
        <v>171</v>
      </c>
      <c r="C27" s="132" t="s">
        <v>152</v>
      </c>
      <c r="D27" s="129" t="s">
        <v>126</v>
      </c>
      <c r="E27" s="129" t="s">
        <v>124</v>
      </c>
      <c r="F27" s="143" t="s">
        <v>125</v>
      </c>
    </row>
    <row r="28" spans="1:6" ht="38.25">
      <c r="A28" s="131" t="s">
        <v>143</v>
      </c>
      <c r="B28" s="132" t="s">
        <v>169</v>
      </c>
      <c r="C28" s="132" t="s">
        <v>153</v>
      </c>
      <c r="D28" s="129" t="s">
        <v>126</v>
      </c>
      <c r="E28" s="129" t="s">
        <v>124</v>
      </c>
      <c r="F28" s="143" t="s">
        <v>125</v>
      </c>
    </row>
    <row r="29" spans="1:6" ht="38.25">
      <c r="A29" s="131" t="s">
        <v>143</v>
      </c>
      <c r="B29" s="132" t="s">
        <v>169</v>
      </c>
      <c r="C29" s="132" t="s">
        <v>154</v>
      </c>
      <c r="D29" s="129" t="s">
        <v>126</v>
      </c>
      <c r="E29" s="129" t="s">
        <v>124</v>
      </c>
      <c r="F29" s="143" t="s">
        <v>125</v>
      </c>
    </row>
    <row r="30" spans="1:6" ht="38.25">
      <c r="A30" s="131" t="s">
        <v>143</v>
      </c>
      <c r="B30" s="132" t="s">
        <v>172</v>
      </c>
      <c r="C30" s="132" t="s">
        <v>155</v>
      </c>
      <c r="D30" s="129" t="s">
        <v>126</v>
      </c>
      <c r="E30" s="129" t="s">
        <v>124</v>
      </c>
      <c r="F30" s="143" t="s">
        <v>125</v>
      </c>
    </row>
    <row r="31" spans="1:6" ht="25.5">
      <c r="A31" s="131" t="s">
        <v>143</v>
      </c>
      <c r="B31" s="132" t="s">
        <v>165</v>
      </c>
      <c r="C31" s="132" t="s">
        <v>156</v>
      </c>
      <c r="D31" s="129" t="s">
        <v>126</v>
      </c>
      <c r="E31" s="129" t="s">
        <v>124</v>
      </c>
      <c r="F31" s="143" t="s">
        <v>125</v>
      </c>
    </row>
    <row r="32" spans="1:6" ht="25.5">
      <c r="A32" s="131" t="s">
        <v>143</v>
      </c>
      <c r="B32" s="132" t="s">
        <v>166</v>
      </c>
      <c r="C32" s="132" t="s">
        <v>157</v>
      </c>
      <c r="D32" s="129" t="s">
        <v>126</v>
      </c>
      <c r="E32" s="129" t="s">
        <v>124</v>
      </c>
      <c r="F32" s="143" t="s">
        <v>125</v>
      </c>
    </row>
    <row r="33" spans="1:6" ht="25.5">
      <c r="A33" s="131" t="s">
        <v>143</v>
      </c>
      <c r="B33" s="132" t="s">
        <v>157</v>
      </c>
      <c r="C33" s="132" t="s">
        <v>158</v>
      </c>
      <c r="D33" s="129" t="s">
        <v>126</v>
      </c>
      <c r="E33" s="129" t="s">
        <v>124</v>
      </c>
      <c r="F33" s="144" t="s">
        <v>125</v>
      </c>
    </row>
    <row r="34" spans="1:6" ht="38.25">
      <c r="A34" s="131" t="s">
        <v>174</v>
      </c>
      <c r="B34" s="134" t="s">
        <v>171</v>
      </c>
      <c r="C34" s="134" t="s">
        <v>178</v>
      </c>
      <c r="D34" s="128" t="s">
        <v>121</v>
      </c>
      <c r="E34" s="129" t="s">
        <v>124</v>
      </c>
      <c r="F34" s="134" t="s">
        <v>125</v>
      </c>
    </row>
    <row r="35" spans="1:6" ht="12.75">
      <c r="A35" s="128" t="s">
        <v>174</v>
      </c>
      <c r="B35" s="128" t="s">
        <v>203</v>
      </c>
      <c r="C35" s="128" t="s">
        <v>210</v>
      </c>
      <c r="D35" s="128" t="s">
        <v>121</v>
      </c>
      <c r="E35" s="129" t="s">
        <v>124</v>
      </c>
      <c r="F35" s="128" t="s">
        <v>125</v>
      </c>
    </row>
    <row r="36" spans="1:6" ht="12.75">
      <c r="A36" s="128" t="s">
        <v>174</v>
      </c>
      <c r="B36" s="129" t="s">
        <v>209</v>
      </c>
      <c r="C36" s="129" t="s">
        <v>211</v>
      </c>
      <c r="D36" s="129" t="s">
        <v>175</v>
      </c>
      <c r="E36" s="129" t="s">
        <v>124</v>
      </c>
      <c r="F36" s="129" t="s">
        <v>125</v>
      </c>
    </row>
    <row r="37" spans="1:6" ht="12.75">
      <c r="A37" s="128" t="s">
        <v>174</v>
      </c>
      <c r="B37" s="129" t="s">
        <v>202</v>
      </c>
      <c r="C37" s="129" t="s">
        <v>212</v>
      </c>
      <c r="D37" s="129" t="s">
        <v>121</v>
      </c>
      <c r="E37" s="129" t="s">
        <v>124</v>
      </c>
      <c r="F37" s="129" t="s">
        <v>125</v>
      </c>
    </row>
    <row r="38" spans="1:6" ht="25.5">
      <c r="A38" s="128" t="s">
        <v>174</v>
      </c>
      <c r="B38" s="145" t="s">
        <v>214</v>
      </c>
      <c r="C38" s="145" t="s">
        <v>213</v>
      </c>
      <c r="D38" s="129" t="s">
        <v>122</v>
      </c>
      <c r="E38" s="129" t="s">
        <v>124</v>
      </c>
      <c r="F38" s="129" t="s">
        <v>125</v>
      </c>
    </row>
    <row r="39" spans="1:6" ht="12.75">
      <c r="A39" s="129"/>
      <c r="B39" s="135"/>
      <c r="C39" s="129"/>
      <c r="D39" s="129"/>
      <c r="E39" s="129"/>
      <c r="F39" s="129"/>
    </row>
    <row r="40" spans="1:6" ht="12.75">
      <c r="A40" s="129"/>
      <c r="B40" s="129"/>
      <c r="C40" s="129"/>
      <c r="D40" s="129"/>
      <c r="E40" s="129"/>
      <c r="F40" s="129"/>
    </row>
    <row r="42" ht="13.5" thickBot="1">
      <c r="A42" s="124" t="s">
        <v>34</v>
      </c>
    </row>
    <row r="43" spans="1:6" ht="26.25" thickBot="1">
      <c r="A43" s="125" t="s">
        <v>36</v>
      </c>
      <c r="B43" s="126" t="s">
        <v>59</v>
      </c>
      <c r="C43" s="126" t="s">
        <v>82</v>
      </c>
      <c r="D43" s="126" t="s">
        <v>80</v>
      </c>
      <c r="E43" s="126" t="s">
        <v>63</v>
      </c>
      <c r="F43" s="127" t="s">
        <v>64</v>
      </c>
    </row>
    <row r="44" spans="1:6" ht="12.75">
      <c r="A44" s="128" t="s">
        <v>123</v>
      </c>
      <c r="B44" s="128" t="s">
        <v>199</v>
      </c>
      <c r="C44" s="128" t="s">
        <v>199</v>
      </c>
      <c r="D44" s="128" t="s">
        <v>121</v>
      </c>
      <c r="E44" s="128" t="s">
        <v>124</v>
      </c>
      <c r="F44" s="128" t="s">
        <v>128</v>
      </c>
    </row>
    <row r="45" spans="1:6" ht="12.75">
      <c r="A45" s="128" t="s">
        <v>123</v>
      </c>
      <c r="B45" s="129" t="s">
        <v>200</v>
      </c>
      <c r="C45" s="129" t="s">
        <v>200</v>
      </c>
      <c r="D45" s="129" t="s">
        <v>121</v>
      </c>
      <c r="E45" s="129" t="s">
        <v>124</v>
      </c>
      <c r="F45" s="129" t="s">
        <v>128</v>
      </c>
    </row>
    <row r="46" spans="1:6" ht="12.75">
      <c r="A46" s="128" t="s">
        <v>123</v>
      </c>
      <c r="B46" s="129" t="s">
        <v>202</v>
      </c>
      <c r="C46" s="129" t="s">
        <v>202</v>
      </c>
      <c r="D46" s="129" t="s">
        <v>121</v>
      </c>
      <c r="E46" s="129" t="s">
        <v>124</v>
      </c>
      <c r="F46" s="129" t="s">
        <v>128</v>
      </c>
    </row>
    <row r="47" spans="1:6" ht="12.75">
      <c r="A47" s="128" t="s">
        <v>123</v>
      </c>
      <c r="B47" s="129" t="s">
        <v>183</v>
      </c>
      <c r="C47" s="129" t="s">
        <v>183</v>
      </c>
      <c r="D47" s="129" t="s">
        <v>121</v>
      </c>
      <c r="E47" s="129" t="s">
        <v>124</v>
      </c>
      <c r="F47" s="129" t="s">
        <v>128</v>
      </c>
    </row>
    <row r="48" spans="1:6" ht="38.25">
      <c r="A48" s="128" t="s">
        <v>123</v>
      </c>
      <c r="B48" s="129" t="s">
        <v>205</v>
      </c>
      <c r="C48" s="136" t="s">
        <v>206</v>
      </c>
      <c r="D48" s="129" t="s">
        <v>121</v>
      </c>
      <c r="E48" s="129" t="s">
        <v>124</v>
      </c>
      <c r="F48" s="129" t="s">
        <v>128</v>
      </c>
    </row>
    <row r="49" spans="1:6" ht="12.75">
      <c r="A49" s="128" t="s">
        <v>123</v>
      </c>
      <c r="B49" s="129" t="s">
        <v>208</v>
      </c>
      <c r="C49" s="129" t="s">
        <v>208</v>
      </c>
      <c r="D49" s="129" t="s">
        <v>121</v>
      </c>
      <c r="E49" s="129" t="s">
        <v>124</v>
      </c>
      <c r="F49" s="129" t="s">
        <v>128</v>
      </c>
    </row>
    <row r="50" spans="1:6" ht="12.75">
      <c r="A50" s="128" t="s">
        <v>133</v>
      </c>
      <c r="B50" s="128" t="s">
        <v>11</v>
      </c>
      <c r="C50" s="128" t="s">
        <v>11</v>
      </c>
      <c r="D50" s="128" t="s">
        <v>126</v>
      </c>
      <c r="E50" s="129" t="s">
        <v>124</v>
      </c>
      <c r="F50" s="128" t="s">
        <v>128</v>
      </c>
    </row>
    <row r="51" spans="1:6" ht="25.5">
      <c r="A51" s="128" t="s">
        <v>223</v>
      </c>
      <c r="B51" s="145" t="s">
        <v>215</v>
      </c>
      <c r="C51" s="145" t="s">
        <v>215</v>
      </c>
      <c r="D51" s="128" t="s">
        <v>126</v>
      </c>
      <c r="E51" s="129" t="s">
        <v>124</v>
      </c>
      <c r="F51" s="128" t="s">
        <v>128</v>
      </c>
    </row>
    <row r="52" spans="1:6" ht="12.75">
      <c r="A52" s="128" t="s">
        <v>223</v>
      </c>
      <c r="B52" s="129" t="s">
        <v>139</v>
      </c>
      <c r="C52" s="129" t="s">
        <v>139</v>
      </c>
      <c r="D52" s="128" t="s">
        <v>126</v>
      </c>
      <c r="E52" s="129" t="s">
        <v>124</v>
      </c>
      <c r="F52" s="128" t="s">
        <v>128</v>
      </c>
    </row>
    <row r="53" spans="1:6" s="130" customFormat="1" ht="12.75">
      <c r="A53" s="128" t="s">
        <v>223</v>
      </c>
      <c r="B53" s="129" t="s">
        <v>140</v>
      </c>
      <c r="C53" s="129" t="s">
        <v>140</v>
      </c>
      <c r="D53" s="128" t="s">
        <v>126</v>
      </c>
      <c r="E53" s="129" t="s">
        <v>124</v>
      </c>
      <c r="F53" s="128" t="s">
        <v>128</v>
      </c>
    </row>
    <row r="54" spans="1:7" ht="25.5">
      <c r="A54" s="128" t="s">
        <v>223</v>
      </c>
      <c r="B54" s="129" t="s">
        <v>140</v>
      </c>
      <c r="C54" s="145" t="s">
        <v>219</v>
      </c>
      <c r="D54" s="128" t="s">
        <v>126</v>
      </c>
      <c r="E54" s="129" t="s">
        <v>124</v>
      </c>
      <c r="F54" s="128" t="s">
        <v>128</v>
      </c>
      <c r="G54" s="137"/>
    </row>
    <row r="55" spans="1:6" ht="12.75">
      <c r="A55" s="128" t="s">
        <v>223</v>
      </c>
      <c r="B55" s="129" t="s">
        <v>141</v>
      </c>
      <c r="C55" s="129" t="s">
        <v>141</v>
      </c>
      <c r="D55" s="128" t="s">
        <v>126</v>
      </c>
      <c r="E55" s="129" t="s">
        <v>124</v>
      </c>
      <c r="F55" s="128" t="s">
        <v>128</v>
      </c>
    </row>
    <row r="56" spans="1:6" ht="38.25">
      <c r="A56" s="131" t="s">
        <v>143</v>
      </c>
      <c r="B56" s="132" t="s">
        <v>168</v>
      </c>
      <c r="C56" s="132" t="s">
        <v>144</v>
      </c>
      <c r="D56" s="128" t="s">
        <v>126</v>
      </c>
      <c r="E56" s="129" t="s">
        <v>124</v>
      </c>
      <c r="F56" s="128" t="s">
        <v>128</v>
      </c>
    </row>
    <row r="57" spans="1:6" ht="38.25">
      <c r="A57" s="131" t="s">
        <v>143</v>
      </c>
      <c r="B57" s="132" t="s">
        <v>168</v>
      </c>
      <c r="C57" s="132" t="s">
        <v>145</v>
      </c>
      <c r="D57" s="128" t="s">
        <v>126</v>
      </c>
      <c r="E57" s="129" t="s">
        <v>124</v>
      </c>
      <c r="F57" s="128" t="s">
        <v>128</v>
      </c>
    </row>
    <row r="58" spans="1:6" ht="38.25">
      <c r="A58" s="131" t="s">
        <v>143</v>
      </c>
      <c r="B58" s="132" t="s">
        <v>168</v>
      </c>
      <c r="C58" s="132" t="s">
        <v>146</v>
      </c>
      <c r="D58" s="128" t="s">
        <v>126</v>
      </c>
      <c r="E58" s="129" t="s">
        <v>124</v>
      </c>
      <c r="F58" s="128" t="s">
        <v>128</v>
      </c>
    </row>
    <row r="59" spans="1:6" ht="25.5">
      <c r="A59" s="131" t="s">
        <v>143</v>
      </c>
      <c r="B59" s="132" t="s">
        <v>168</v>
      </c>
      <c r="C59" s="132" t="s">
        <v>147</v>
      </c>
      <c r="D59" s="128" t="s">
        <v>126</v>
      </c>
      <c r="E59" s="129" t="s">
        <v>124</v>
      </c>
      <c r="F59" s="128" t="s">
        <v>128</v>
      </c>
    </row>
    <row r="60" spans="1:6" ht="25.5">
      <c r="A60" s="131" t="s">
        <v>143</v>
      </c>
      <c r="B60" s="132" t="s">
        <v>168</v>
      </c>
      <c r="C60" s="132" t="s">
        <v>148</v>
      </c>
      <c r="D60" s="128" t="s">
        <v>126</v>
      </c>
      <c r="E60" s="129" t="s">
        <v>124</v>
      </c>
      <c r="F60" s="128" t="s">
        <v>128</v>
      </c>
    </row>
    <row r="61" spans="1:6" ht="25.5">
      <c r="A61" s="131" t="s">
        <v>143</v>
      </c>
      <c r="B61" s="132" t="s">
        <v>168</v>
      </c>
      <c r="C61" s="132" t="s">
        <v>149</v>
      </c>
      <c r="D61" s="128" t="s">
        <v>126</v>
      </c>
      <c r="E61" s="129" t="s">
        <v>124</v>
      </c>
      <c r="F61" s="128" t="s">
        <v>128</v>
      </c>
    </row>
    <row r="62" spans="1:6" ht="25.5">
      <c r="A62" s="131" t="s">
        <v>143</v>
      </c>
      <c r="B62" s="132" t="s">
        <v>168</v>
      </c>
      <c r="C62" s="132" t="s">
        <v>150</v>
      </c>
      <c r="D62" s="128" t="s">
        <v>126</v>
      </c>
      <c r="E62" s="129" t="s">
        <v>124</v>
      </c>
      <c r="F62" s="128" t="s">
        <v>128</v>
      </c>
    </row>
    <row r="63" spans="1:6" ht="25.5">
      <c r="A63" s="131" t="s">
        <v>143</v>
      </c>
      <c r="B63" s="132" t="s">
        <v>168</v>
      </c>
      <c r="C63" s="132" t="s">
        <v>151</v>
      </c>
      <c r="D63" s="128" t="s">
        <v>126</v>
      </c>
      <c r="E63" s="129" t="s">
        <v>124</v>
      </c>
      <c r="F63" s="128" t="s">
        <v>128</v>
      </c>
    </row>
    <row r="64" spans="1:6" ht="38.25">
      <c r="A64" s="131" t="s">
        <v>143</v>
      </c>
      <c r="B64" s="132" t="s">
        <v>170</v>
      </c>
      <c r="C64" s="132" t="s">
        <v>152</v>
      </c>
      <c r="D64" s="128" t="s">
        <v>126</v>
      </c>
      <c r="E64" s="129" t="s">
        <v>124</v>
      </c>
      <c r="F64" s="128" t="s">
        <v>128</v>
      </c>
    </row>
    <row r="65" spans="1:6" ht="38.25">
      <c r="A65" s="131" t="s">
        <v>143</v>
      </c>
      <c r="B65" s="132" t="s">
        <v>169</v>
      </c>
      <c r="C65" s="132" t="s">
        <v>153</v>
      </c>
      <c r="D65" s="128" t="s">
        <v>126</v>
      </c>
      <c r="E65" s="129" t="s">
        <v>124</v>
      </c>
      <c r="F65" s="128" t="s">
        <v>128</v>
      </c>
    </row>
    <row r="66" spans="1:6" ht="38.25">
      <c r="A66" s="131" t="s">
        <v>143</v>
      </c>
      <c r="B66" s="132" t="s">
        <v>169</v>
      </c>
      <c r="C66" s="132" t="s">
        <v>159</v>
      </c>
      <c r="D66" s="128" t="s">
        <v>126</v>
      </c>
      <c r="E66" s="129" t="s">
        <v>124</v>
      </c>
      <c r="F66" s="128" t="s">
        <v>128</v>
      </c>
    </row>
    <row r="67" spans="1:6" ht="25.5">
      <c r="A67" s="131" t="s">
        <v>143</v>
      </c>
      <c r="B67" s="132" t="s">
        <v>163</v>
      </c>
      <c r="C67" s="132" t="s">
        <v>156</v>
      </c>
      <c r="D67" s="128" t="s">
        <v>126</v>
      </c>
      <c r="E67" s="129" t="s">
        <v>124</v>
      </c>
      <c r="F67" s="128" t="s">
        <v>128</v>
      </c>
    </row>
    <row r="68" spans="1:6" ht="25.5">
      <c r="A68" s="131" t="s">
        <v>143</v>
      </c>
      <c r="B68" s="132" t="s">
        <v>166</v>
      </c>
      <c r="C68" s="132" t="s">
        <v>160</v>
      </c>
      <c r="D68" s="128" t="s">
        <v>126</v>
      </c>
      <c r="E68" s="129" t="s">
        <v>124</v>
      </c>
      <c r="F68" s="128" t="s">
        <v>128</v>
      </c>
    </row>
    <row r="69" spans="1:6" ht="25.5">
      <c r="A69" s="131" t="s">
        <v>143</v>
      </c>
      <c r="B69" s="132" t="s">
        <v>168</v>
      </c>
      <c r="C69" s="132" t="s">
        <v>161</v>
      </c>
      <c r="D69" s="128" t="s">
        <v>126</v>
      </c>
      <c r="E69" s="129" t="s">
        <v>124</v>
      </c>
      <c r="F69" s="128" t="s">
        <v>128</v>
      </c>
    </row>
    <row r="70" spans="1:6" ht="25.5">
      <c r="A70" s="131" t="s">
        <v>143</v>
      </c>
      <c r="B70" s="132" t="s">
        <v>166</v>
      </c>
      <c r="C70" s="132" t="s">
        <v>162</v>
      </c>
      <c r="D70" s="128" t="s">
        <v>126</v>
      </c>
      <c r="E70" s="129" t="s">
        <v>124</v>
      </c>
      <c r="F70" s="128" t="s">
        <v>128</v>
      </c>
    </row>
    <row r="71" spans="1:6" ht="38.25">
      <c r="A71" s="131" t="s">
        <v>176</v>
      </c>
      <c r="B71" s="134" t="s">
        <v>171</v>
      </c>
      <c r="C71" s="134" t="s">
        <v>178</v>
      </c>
      <c r="D71" s="128" t="s">
        <v>121</v>
      </c>
      <c r="E71" s="129" t="s">
        <v>124</v>
      </c>
      <c r="F71" s="128" t="s">
        <v>128</v>
      </c>
    </row>
    <row r="72" spans="1:6" ht="12.75">
      <c r="A72" s="128" t="s">
        <v>176</v>
      </c>
      <c r="B72" s="128" t="s">
        <v>209</v>
      </c>
      <c r="C72" s="128" t="s">
        <v>209</v>
      </c>
      <c r="D72" s="128" t="s">
        <v>121</v>
      </c>
      <c r="E72" s="129" t="s">
        <v>124</v>
      </c>
      <c r="F72" s="128" t="s">
        <v>128</v>
      </c>
    </row>
    <row r="73" spans="1:6" ht="12.75">
      <c r="A73" s="128" t="s">
        <v>176</v>
      </c>
      <c r="B73" s="129" t="s">
        <v>209</v>
      </c>
      <c r="C73" s="129" t="s">
        <v>211</v>
      </c>
      <c r="D73" s="128" t="s">
        <v>126</v>
      </c>
      <c r="E73" s="129" t="s">
        <v>124</v>
      </c>
      <c r="F73" s="129" t="s">
        <v>128</v>
      </c>
    </row>
    <row r="74" spans="1:6" ht="12.75">
      <c r="A74" s="128" t="s">
        <v>176</v>
      </c>
      <c r="B74" s="129" t="s">
        <v>202</v>
      </c>
      <c r="C74" s="129" t="s">
        <v>212</v>
      </c>
      <c r="D74" s="128" t="s">
        <v>121</v>
      </c>
      <c r="E74" s="129" t="s">
        <v>124</v>
      </c>
      <c r="F74" s="129" t="s">
        <v>128</v>
      </c>
    </row>
    <row r="75" spans="1:6" ht="12.75">
      <c r="A75" s="129"/>
      <c r="B75" s="129"/>
      <c r="C75" s="129"/>
      <c r="D75" s="129"/>
      <c r="E75" s="129"/>
      <c r="F75" s="129"/>
    </row>
    <row r="77" spans="1:6" ht="13.5" thickBot="1">
      <c r="A77" s="138" t="s">
        <v>65</v>
      </c>
      <c r="B77" s="139"/>
      <c r="C77" s="139"/>
      <c r="D77" s="139"/>
      <c r="E77" s="139"/>
      <c r="F77" s="139"/>
    </row>
    <row r="78" spans="1:6" ht="38.25" customHeight="1" thickBot="1">
      <c r="A78" s="125" t="s">
        <v>36</v>
      </c>
      <c r="B78" s="126" t="s">
        <v>59</v>
      </c>
      <c r="C78" s="126" t="s">
        <v>82</v>
      </c>
      <c r="D78" s="126" t="s">
        <v>80</v>
      </c>
      <c r="E78" s="126" t="s">
        <v>63</v>
      </c>
      <c r="F78" s="127" t="s">
        <v>64</v>
      </c>
    </row>
    <row r="79" spans="1:6" ht="12.75">
      <c r="A79" s="140" t="s">
        <v>190</v>
      </c>
      <c r="B79" s="140" t="s">
        <v>190</v>
      </c>
      <c r="C79" s="140" t="s">
        <v>190</v>
      </c>
      <c r="D79" s="140" t="s">
        <v>190</v>
      </c>
      <c r="E79" s="140" t="s">
        <v>190</v>
      </c>
      <c r="F79" s="140" t="s">
        <v>190</v>
      </c>
    </row>
    <row r="81" ht="13.5" thickBot="1">
      <c r="A81" s="124" t="s">
        <v>35</v>
      </c>
    </row>
    <row r="82" spans="1:6" ht="26.25" thickBot="1">
      <c r="A82" s="125" t="s">
        <v>36</v>
      </c>
      <c r="B82" s="126" t="s">
        <v>59</v>
      </c>
      <c r="C82" s="126" t="s">
        <v>82</v>
      </c>
      <c r="D82" s="126" t="s">
        <v>80</v>
      </c>
      <c r="E82" s="126" t="s">
        <v>63</v>
      </c>
      <c r="F82" s="127" t="s">
        <v>64</v>
      </c>
    </row>
    <row r="83" spans="1:6" ht="25.5">
      <c r="A83" s="128" t="s">
        <v>123</v>
      </c>
      <c r="B83" s="141" t="s">
        <v>217</v>
      </c>
      <c r="C83" s="141" t="s">
        <v>217</v>
      </c>
      <c r="D83" s="128" t="s">
        <v>126</v>
      </c>
      <c r="E83" s="128" t="s">
        <v>124</v>
      </c>
      <c r="F83" s="128" t="s">
        <v>129</v>
      </c>
    </row>
    <row r="84" spans="1:6" ht="12.75">
      <c r="A84" s="128" t="s">
        <v>123</v>
      </c>
      <c r="B84" s="129" t="s">
        <v>200</v>
      </c>
      <c r="C84" s="129" t="s">
        <v>201</v>
      </c>
      <c r="D84" s="129" t="s">
        <v>126</v>
      </c>
      <c r="E84" s="129" t="s">
        <v>124</v>
      </c>
      <c r="F84" s="129" t="s">
        <v>129</v>
      </c>
    </row>
    <row r="85" spans="1:6" ht="12.75">
      <c r="A85" s="128" t="s">
        <v>123</v>
      </c>
      <c r="B85" s="129" t="s">
        <v>218</v>
      </c>
      <c r="C85" s="129" t="s">
        <v>218</v>
      </c>
      <c r="D85" s="129" t="s">
        <v>126</v>
      </c>
      <c r="E85" s="129" t="s">
        <v>124</v>
      </c>
      <c r="F85" s="129" t="s">
        <v>129</v>
      </c>
    </row>
    <row r="86" spans="1:7" ht="12.75">
      <c r="A86" s="128" t="s">
        <v>123</v>
      </c>
      <c r="B86" s="129" t="s">
        <v>183</v>
      </c>
      <c r="C86" s="129" t="s">
        <v>183</v>
      </c>
      <c r="D86" s="129" t="s">
        <v>126</v>
      </c>
      <c r="E86" s="129" t="s">
        <v>124</v>
      </c>
      <c r="F86" s="129" t="s">
        <v>129</v>
      </c>
      <c r="G86" s="137"/>
    </row>
    <row r="87" spans="1:6" ht="25.5">
      <c r="A87" s="128" t="s">
        <v>123</v>
      </c>
      <c r="B87" s="136" t="s">
        <v>221</v>
      </c>
      <c r="C87" s="129" t="s">
        <v>222</v>
      </c>
      <c r="D87" s="129" t="s">
        <v>126</v>
      </c>
      <c r="E87" s="129" t="s">
        <v>124</v>
      </c>
      <c r="F87" s="129" t="s">
        <v>129</v>
      </c>
    </row>
    <row r="88" spans="1:6" ht="12.75">
      <c r="A88" s="128" t="s">
        <v>133</v>
      </c>
      <c r="B88" s="128" t="s">
        <v>138</v>
      </c>
      <c r="C88" s="128" t="s">
        <v>134</v>
      </c>
      <c r="D88" s="129" t="s">
        <v>126</v>
      </c>
      <c r="E88" s="129" t="s">
        <v>124</v>
      </c>
      <c r="F88" s="128" t="s">
        <v>135</v>
      </c>
    </row>
    <row r="89" spans="1:6" ht="12.75">
      <c r="A89" s="129" t="s">
        <v>133</v>
      </c>
      <c r="B89" s="129" t="s">
        <v>137</v>
      </c>
      <c r="C89" s="129" t="s">
        <v>137</v>
      </c>
      <c r="D89" s="129" t="s">
        <v>126</v>
      </c>
      <c r="E89" s="129" t="s">
        <v>124</v>
      </c>
      <c r="F89" s="129" t="s">
        <v>135</v>
      </c>
    </row>
    <row r="90" spans="1:6" ht="12.75">
      <c r="A90" s="129" t="s">
        <v>133</v>
      </c>
      <c r="B90" s="129" t="s">
        <v>136</v>
      </c>
      <c r="C90" s="129" t="s">
        <v>136</v>
      </c>
      <c r="D90" s="129" t="s">
        <v>126</v>
      </c>
      <c r="E90" s="129" t="s">
        <v>124</v>
      </c>
      <c r="F90" s="129" t="s">
        <v>135</v>
      </c>
    </row>
    <row r="91" spans="1:6" s="130" customFormat="1" ht="12.75">
      <c r="A91" s="129" t="s">
        <v>223</v>
      </c>
      <c r="B91" s="129" t="s">
        <v>140</v>
      </c>
      <c r="C91" s="129" t="s">
        <v>140</v>
      </c>
      <c r="D91" s="129" t="s">
        <v>126</v>
      </c>
      <c r="E91" s="129" t="s">
        <v>142</v>
      </c>
      <c r="F91" s="129" t="s">
        <v>135</v>
      </c>
    </row>
    <row r="92" spans="1:6" ht="12.75">
      <c r="A92" s="129" t="s">
        <v>223</v>
      </c>
      <c r="B92" s="128" t="s">
        <v>139</v>
      </c>
      <c r="C92" s="128" t="s">
        <v>139</v>
      </c>
      <c r="D92" s="129" t="s">
        <v>126</v>
      </c>
      <c r="E92" s="129" t="s">
        <v>142</v>
      </c>
      <c r="F92" s="129" t="s">
        <v>135</v>
      </c>
    </row>
    <row r="93" spans="1:6" ht="12.75">
      <c r="A93" s="129" t="s">
        <v>223</v>
      </c>
      <c r="B93" s="129" t="s">
        <v>141</v>
      </c>
      <c r="C93" s="129" t="s">
        <v>141</v>
      </c>
      <c r="D93" s="129" t="s">
        <v>126</v>
      </c>
      <c r="E93" s="129" t="s">
        <v>142</v>
      </c>
      <c r="F93" s="129" t="s">
        <v>135</v>
      </c>
    </row>
    <row r="94" spans="1:6" ht="25.5">
      <c r="A94" s="129" t="s">
        <v>223</v>
      </c>
      <c r="B94" s="145" t="s">
        <v>216</v>
      </c>
      <c r="C94" s="145" t="s">
        <v>216</v>
      </c>
      <c r="D94" s="129" t="s">
        <v>126</v>
      </c>
      <c r="E94" s="129" t="s">
        <v>142</v>
      </c>
      <c r="F94" s="129" t="s">
        <v>135</v>
      </c>
    </row>
    <row r="95" spans="1:6" ht="12.75">
      <c r="A95" s="131" t="s">
        <v>143</v>
      </c>
      <c r="B95" s="132" t="s">
        <v>165</v>
      </c>
      <c r="C95" s="133" t="s">
        <v>163</v>
      </c>
      <c r="D95" s="129" t="s">
        <v>126</v>
      </c>
      <c r="E95" s="131" t="s">
        <v>124</v>
      </c>
      <c r="F95" s="142" t="s">
        <v>129</v>
      </c>
    </row>
    <row r="96" spans="1:6" ht="25.5">
      <c r="A96" s="131" t="s">
        <v>143</v>
      </c>
      <c r="B96" s="132" t="s">
        <v>166</v>
      </c>
      <c r="C96" s="132" t="s">
        <v>157</v>
      </c>
      <c r="D96" s="129" t="s">
        <v>126</v>
      </c>
      <c r="E96" s="131" t="s">
        <v>124</v>
      </c>
      <c r="F96" s="142" t="s">
        <v>129</v>
      </c>
    </row>
    <row r="97" spans="1:6" ht="25.5">
      <c r="A97" s="131" t="s">
        <v>143</v>
      </c>
      <c r="B97" s="132" t="s">
        <v>167</v>
      </c>
      <c r="C97" s="132" t="s">
        <v>164</v>
      </c>
      <c r="D97" s="129" t="s">
        <v>126</v>
      </c>
      <c r="E97" s="131" t="s">
        <v>124</v>
      </c>
      <c r="F97" s="142" t="s">
        <v>129</v>
      </c>
    </row>
    <row r="98" spans="1:6" ht="12.75">
      <c r="A98" s="128" t="s">
        <v>176</v>
      </c>
      <c r="B98" s="128" t="s">
        <v>209</v>
      </c>
      <c r="C98" s="128" t="s">
        <v>209</v>
      </c>
      <c r="D98" s="129" t="s">
        <v>126</v>
      </c>
      <c r="E98" s="131" t="s">
        <v>124</v>
      </c>
      <c r="F98" s="128" t="s">
        <v>177</v>
      </c>
    </row>
    <row r="99" spans="1:6" ht="12.75">
      <c r="A99" s="128" t="s">
        <v>176</v>
      </c>
      <c r="B99" s="129" t="s">
        <v>218</v>
      </c>
      <c r="C99" s="129" t="s">
        <v>218</v>
      </c>
      <c r="D99" s="129" t="s">
        <v>126</v>
      </c>
      <c r="E99" s="131" t="s">
        <v>124</v>
      </c>
      <c r="F99" s="129" t="s">
        <v>129</v>
      </c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9" r:id="rId1"/>
  <rowBreaks count="2" manualBreakCount="2">
    <brk id="41" max="255" man="1"/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SheetLayoutView="100" zoomScalePageLayoutView="0" workbookViewId="0" topLeftCell="A13">
      <selection activeCell="I29" sqref="I29"/>
    </sheetView>
  </sheetViews>
  <sheetFormatPr defaultColWidth="9.00390625" defaultRowHeight="15.75"/>
  <cols>
    <col min="1" max="1" width="16.25390625" style="0" customWidth="1"/>
    <col min="2" max="7" width="10.625" style="0" customWidth="1"/>
  </cols>
  <sheetData>
    <row r="1" spans="1:7" ht="21" thickBot="1">
      <c r="A1" s="457" t="s">
        <v>73</v>
      </c>
      <c r="B1" s="457"/>
      <c r="C1" s="457"/>
      <c r="D1" s="457"/>
      <c r="E1" s="457"/>
      <c r="F1" s="457"/>
      <c r="G1" s="457"/>
    </row>
    <row r="2" spans="1:7" s="20" customFormat="1" ht="15.75">
      <c r="A2" s="461" t="s">
        <v>36</v>
      </c>
      <c r="B2" s="459" t="s">
        <v>37</v>
      </c>
      <c r="C2" s="458" t="s">
        <v>38</v>
      </c>
      <c r="D2" s="458"/>
      <c r="E2" s="458" t="s">
        <v>39</v>
      </c>
      <c r="F2" s="458"/>
      <c r="G2" s="455" t="s">
        <v>40</v>
      </c>
    </row>
    <row r="3" spans="1:7" s="20" customFormat="1" ht="16.5" thickBot="1">
      <c r="A3" s="462"/>
      <c r="B3" s="460"/>
      <c r="C3" s="77" t="s">
        <v>0</v>
      </c>
      <c r="D3" s="77" t="s">
        <v>1</v>
      </c>
      <c r="E3" s="77" t="s">
        <v>0</v>
      </c>
      <c r="F3" s="77" t="s">
        <v>1</v>
      </c>
      <c r="G3" s="456"/>
    </row>
    <row r="4" spans="1:7" ht="15.75">
      <c r="A4" s="103" t="s">
        <v>116</v>
      </c>
      <c r="B4" s="76">
        <v>1</v>
      </c>
      <c r="C4" s="52">
        <v>637</v>
      </c>
      <c r="D4" s="52">
        <v>0</v>
      </c>
      <c r="E4" s="52">
        <v>0</v>
      </c>
      <c r="F4" s="52">
        <v>0</v>
      </c>
      <c r="G4" s="64">
        <f>SUM(C4:F4)</f>
        <v>637</v>
      </c>
    </row>
    <row r="5" spans="1:7" ht="15.75">
      <c r="A5" s="11"/>
      <c r="B5" s="18">
        <v>2</v>
      </c>
      <c r="C5" s="3">
        <v>250</v>
      </c>
      <c r="D5" s="3">
        <v>1</v>
      </c>
      <c r="E5" s="3">
        <v>15</v>
      </c>
      <c r="F5" s="3">
        <v>0</v>
      </c>
      <c r="G5" s="39">
        <f aca="true" t="shared" si="0" ref="G5:G32">SUM(C5:F5)</f>
        <v>266</v>
      </c>
    </row>
    <row r="6" spans="1:7" ht="15.75">
      <c r="A6" s="11"/>
      <c r="B6" s="18" t="s">
        <v>3</v>
      </c>
      <c r="C6" s="3">
        <v>0</v>
      </c>
      <c r="D6" s="3">
        <v>0</v>
      </c>
      <c r="E6" s="3">
        <v>0</v>
      </c>
      <c r="F6" s="3">
        <v>0</v>
      </c>
      <c r="G6" s="39">
        <f t="shared" si="0"/>
        <v>0</v>
      </c>
    </row>
    <row r="7" spans="1:7" ht="15.75">
      <c r="A7" s="11"/>
      <c r="B7" s="18">
        <v>3</v>
      </c>
      <c r="C7" s="3">
        <v>50</v>
      </c>
      <c r="D7" s="3">
        <v>4</v>
      </c>
      <c r="E7" s="3">
        <v>51</v>
      </c>
      <c r="F7" s="3">
        <v>0</v>
      </c>
      <c r="G7" s="39">
        <f t="shared" si="0"/>
        <v>105</v>
      </c>
    </row>
    <row r="8" spans="1:7" ht="15.75">
      <c r="A8" s="450" t="s">
        <v>185</v>
      </c>
      <c r="B8" s="451"/>
      <c r="C8" s="49">
        <f>+SUBTOTAL(9,C4:C7)</f>
        <v>937</v>
      </c>
      <c r="D8" s="49">
        <f>+SUBTOTAL(9,D4:D7)</f>
        <v>5</v>
      </c>
      <c r="E8" s="49">
        <f>+SUBTOTAL(9,E4:E7)</f>
        <v>66</v>
      </c>
      <c r="F8" s="49">
        <f>+SUBTOTAL(9,F4:F7)</f>
        <v>0</v>
      </c>
      <c r="G8" s="39">
        <f t="shared" si="0"/>
        <v>1008</v>
      </c>
    </row>
    <row r="9" spans="1:7" ht="15.75">
      <c r="A9" s="46" t="s">
        <v>117</v>
      </c>
      <c r="B9" s="18">
        <v>1</v>
      </c>
      <c r="C9" s="3">
        <v>889</v>
      </c>
      <c r="D9" s="3">
        <v>5</v>
      </c>
      <c r="E9" s="3">
        <v>532</v>
      </c>
      <c r="F9" s="3">
        <v>4</v>
      </c>
      <c r="G9" s="39">
        <f t="shared" si="0"/>
        <v>1430</v>
      </c>
    </row>
    <row r="10" spans="1:7" ht="15.75">
      <c r="A10" s="11"/>
      <c r="B10" s="18">
        <v>2</v>
      </c>
      <c r="C10" s="3">
        <v>379</v>
      </c>
      <c r="D10" s="3">
        <v>2</v>
      </c>
      <c r="E10" s="3">
        <v>255</v>
      </c>
      <c r="F10" s="3">
        <v>0</v>
      </c>
      <c r="G10" s="39">
        <f t="shared" si="0"/>
        <v>636</v>
      </c>
    </row>
    <row r="11" spans="1:7" ht="15.75">
      <c r="A11" s="11"/>
      <c r="B11" s="18" t="s">
        <v>3</v>
      </c>
      <c r="C11" s="3">
        <v>0</v>
      </c>
      <c r="D11" s="3">
        <v>0</v>
      </c>
      <c r="E11" s="3">
        <v>0</v>
      </c>
      <c r="F11" s="3">
        <v>0</v>
      </c>
      <c r="G11" s="39">
        <f t="shared" si="0"/>
        <v>0</v>
      </c>
    </row>
    <row r="12" spans="1:7" ht="15.75">
      <c r="A12" s="11"/>
      <c r="B12" s="18">
        <v>3</v>
      </c>
      <c r="C12" s="3">
        <v>32</v>
      </c>
      <c r="D12" s="3">
        <v>0</v>
      </c>
      <c r="E12" s="3">
        <v>13</v>
      </c>
      <c r="F12" s="3">
        <v>1</v>
      </c>
      <c r="G12" s="39">
        <f t="shared" si="0"/>
        <v>46</v>
      </c>
    </row>
    <row r="13" spans="1:7" ht="15.75">
      <c r="A13" s="450" t="s">
        <v>184</v>
      </c>
      <c r="B13" s="451"/>
      <c r="C13" s="49">
        <f>+SUBTOTAL(9,C9:C12)</f>
        <v>1300</v>
      </c>
      <c r="D13" s="49">
        <f>+SUBTOTAL(9,D9:D12)</f>
        <v>7</v>
      </c>
      <c r="E13" s="49">
        <f>+SUBTOTAL(9,E9:E12)</f>
        <v>800</v>
      </c>
      <c r="F13" s="49">
        <f>+SUBTOTAL(9,F9:F12)</f>
        <v>5</v>
      </c>
      <c r="G13" s="39">
        <f t="shared" si="0"/>
        <v>2112</v>
      </c>
    </row>
    <row r="14" spans="1:7" ht="15.75">
      <c r="A14" s="46" t="s">
        <v>118</v>
      </c>
      <c r="B14" s="18">
        <v>1</v>
      </c>
      <c r="C14" s="3">
        <v>522</v>
      </c>
      <c r="D14" s="3">
        <v>2</v>
      </c>
      <c r="E14" s="3">
        <v>539</v>
      </c>
      <c r="F14" s="3">
        <v>7</v>
      </c>
      <c r="G14" s="39">
        <f t="shared" si="0"/>
        <v>1070</v>
      </c>
    </row>
    <row r="15" spans="1:7" ht="15.75">
      <c r="A15" s="11"/>
      <c r="B15" s="18">
        <v>2</v>
      </c>
      <c r="C15" s="3">
        <v>176</v>
      </c>
      <c r="D15" s="3">
        <v>1</v>
      </c>
      <c r="E15" s="3">
        <v>324</v>
      </c>
      <c r="F15" s="3">
        <v>27</v>
      </c>
      <c r="G15" s="39">
        <f t="shared" si="0"/>
        <v>528</v>
      </c>
    </row>
    <row r="16" spans="1:7" ht="15.75">
      <c r="A16" s="11"/>
      <c r="B16" s="18" t="s">
        <v>3</v>
      </c>
      <c r="C16" s="3">
        <v>0</v>
      </c>
      <c r="D16" s="3">
        <v>0</v>
      </c>
      <c r="E16" s="3">
        <v>0</v>
      </c>
      <c r="F16" s="3">
        <v>0</v>
      </c>
      <c r="G16" s="39">
        <f t="shared" si="0"/>
        <v>0</v>
      </c>
    </row>
    <row r="17" spans="1:7" ht="15.75">
      <c r="A17" s="11"/>
      <c r="B17" s="18">
        <v>3</v>
      </c>
      <c r="C17" s="3">
        <v>55</v>
      </c>
      <c r="D17" s="3">
        <v>0</v>
      </c>
      <c r="E17" s="3">
        <v>87</v>
      </c>
      <c r="F17" s="3">
        <v>26</v>
      </c>
      <c r="G17" s="39">
        <f t="shared" si="0"/>
        <v>168</v>
      </c>
    </row>
    <row r="18" spans="1:7" ht="15.75">
      <c r="A18" s="450" t="s">
        <v>186</v>
      </c>
      <c r="B18" s="451"/>
      <c r="C18" s="49">
        <f>+SUBTOTAL(9,C14:C17)</f>
        <v>753</v>
      </c>
      <c r="D18" s="49">
        <f>+SUBTOTAL(9,D14:D17)</f>
        <v>3</v>
      </c>
      <c r="E18" s="49">
        <f>+SUBTOTAL(9,E14:E17)</f>
        <v>950</v>
      </c>
      <c r="F18" s="49">
        <f>+SUBTOTAL(9,F14:F17)</f>
        <v>60</v>
      </c>
      <c r="G18" s="39">
        <f>SUM(C18:F18)</f>
        <v>1766</v>
      </c>
    </row>
    <row r="19" spans="1:7" ht="15.75">
      <c r="A19" s="46" t="s">
        <v>119</v>
      </c>
      <c r="B19" s="18">
        <v>1</v>
      </c>
      <c r="C19" s="3">
        <v>92</v>
      </c>
      <c r="D19" s="3">
        <v>3</v>
      </c>
      <c r="E19" s="3">
        <v>68</v>
      </c>
      <c r="F19" s="3">
        <v>1</v>
      </c>
      <c r="G19" s="39">
        <f t="shared" si="0"/>
        <v>164</v>
      </c>
    </row>
    <row r="20" spans="1:7" ht="15.75">
      <c r="A20" s="11"/>
      <c r="B20" s="18">
        <v>2</v>
      </c>
      <c r="C20" s="3">
        <v>32</v>
      </c>
      <c r="D20" s="3">
        <v>0</v>
      </c>
      <c r="E20" s="3">
        <v>29</v>
      </c>
      <c r="F20" s="3">
        <v>0</v>
      </c>
      <c r="G20" s="39">
        <f t="shared" si="0"/>
        <v>61</v>
      </c>
    </row>
    <row r="21" spans="1:7" ht="15.75">
      <c r="A21" s="11"/>
      <c r="B21" s="18" t="s">
        <v>3</v>
      </c>
      <c r="C21" s="3">
        <v>0</v>
      </c>
      <c r="D21" s="3">
        <v>0</v>
      </c>
      <c r="E21" s="3">
        <v>0</v>
      </c>
      <c r="F21" s="3">
        <v>0</v>
      </c>
      <c r="G21" s="39">
        <f t="shared" si="0"/>
        <v>0</v>
      </c>
    </row>
    <row r="22" spans="1:7" ht="15.75">
      <c r="A22" s="11"/>
      <c r="B22" s="18">
        <v>3</v>
      </c>
      <c r="C22" s="3">
        <v>13</v>
      </c>
      <c r="D22" s="3">
        <v>0</v>
      </c>
      <c r="E22" s="3">
        <v>6</v>
      </c>
      <c r="F22" s="3">
        <v>0</v>
      </c>
      <c r="G22" s="39">
        <f t="shared" si="0"/>
        <v>19</v>
      </c>
    </row>
    <row r="23" spans="1:7" ht="15.75">
      <c r="A23" s="450" t="s">
        <v>187</v>
      </c>
      <c r="B23" s="451"/>
      <c r="C23" s="49">
        <f>+SUBTOTAL(9,C19:C22)</f>
        <v>137</v>
      </c>
      <c r="D23" s="49">
        <f>+SUBTOTAL(9,D19:D22)</f>
        <v>3</v>
      </c>
      <c r="E23" s="49">
        <f>+SUBTOTAL(9,E19:E22)</f>
        <v>103</v>
      </c>
      <c r="F23" s="49">
        <f>+SUBTOTAL(9,F19:F22)</f>
        <v>1</v>
      </c>
      <c r="G23" s="39">
        <f t="shared" si="0"/>
        <v>244</v>
      </c>
    </row>
    <row r="24" spans="1:7" ht="15.75">
      <c r="A24" s="46" t="s">
        <v>120</v>
      </c>
      <c r="B24" s="18">
        <v>1</v>
      </c>
      <c r="C24" s="3">
        <v>577</v>
      </c>
      <c r="D24" s="3">
        <v>3</v>
      </c>
      <c r="E24" s="3">
        <v>471</v>
      </c>
      <c r="F24" s="3">
        <v>2</v>
      </c>
      <c r="G24" s="39">
        <f t="shared" si="0"/>
        <v>1053</v>
      </c>
    </row>
    <row r="25" spans="1:7" ht="15.75">
      <c r="A25" s="11"/>
      <c r="B25" s="18">
        <v>2</v>
      </c>
      <c r="C25" s="3">
        <v>604</v>
      </c>
      <c r="D25" s="3">
        <v>3</v>
      </c>
      <c r="E25" s="3">
        <v>156</v>
      </c>
      <c r="F25" s="3">
        <v>4</v>
      </c>
      <c r="G25" s="39">
        <f t="shared" si="0"/>
        <v>767</v>
      </c>
    </row>
    <row r="26" spans="1:7" ht="15.75">
      <c r="A26" s="11"/>
      <c r="B26" s="18" t="s">
        <v>3</v>
      </c>
      <c r="C26" s="3">
        <v>0</v>
      </c>
      <c r="D26" s="3">
        <v>0</v>
      </c>
      <c r="E26" s="3">
        <v>0</v>
      </c>
      <c r="F26" s="3">
        <v>0</v>
      </c>
      <c r="G26" s="39">
        <f t="shared" si="0"/>
        <v>0</v>
      </c>
    </row>
    <row r="27" spans="1:7" ht="15.75">
      <c r="A27" s="11"/>
      <c r="B27" s="18">
        <v>3</v>
      </c>
      <c r="C27" s="3">
        <v>34</v>
      </c>
      <c r="D27" s="3">
        <v>0</v>
      </c>
      <c r="E27" s="3">
        <v>82</v>
      </c>
      <c r="F27" s="3">
        <v>2</v>
      </c>
      <c r="G27" s="39">
        <f t="shared" si="0"/>
        <v>118</v>
      </c>
    </row>
    <row r="28" spans="1:7" ht="15.75">
      <c r="A28" s="450" t="s">
        <v>188</v>
      </c>
      <c r="B28" s="451"/>
      <c r="C28" s="49">
        <f>+SUBTOTAL(9,C24:C27)</f>
        <v>1215</v>
      </c>
      <c r="D28" s="49">
        <f>+SUBTOTAL(9,D24:D27)</f>
        <v>6</v>
      </c>
      <c r="E28" s="49">
        <v>627</v>
      </c>
      <c r="F28" s="49">
        <f>+SUBTOTAL(9,F24:F27)</f>
        <v>8</v>
      </c>
      <c r="G28" s="39">
        <f>SUM(C28:F28)</f>
        <v>1856</v>
      </c>
    </row>
    <row r="29" spans="1:7" ht="15.75">
      <c r="A29" s="452" t="s">
        <v>99</v>
      </c>
      <c r="B29" s="83">
        <v>1</v>
      </c>
      <c r="C29" s="39">
        <f aca="true" t="shared" si="1" ref="C29:F32">+C4+C9+C14+C19+C24</f>
        <v>2717</v>
      </c>
      <c r="D29" s="39">
        <f t="shared" si="1"/>
        <v>13</v>
      </c>
      <c r="E29" s="39">
        <f t="shared" si="1"/>
        <v>1610</v>
      </c>
      <c r="F29" s="39">
        <f t="shared" si="1"/>
        <v>14</v>
      </c>
      <c r="G29" s="39">
        <f t="shared" si="0"/>
        <v>4354</v>
      </c>
    </row>
    <row r="30" spans="1:7" ht="15.75">
      <c r="A30" s="453"/>
      <c r="B30" s="83">
        <v>2</v>
      </c>
      <c r="C30" s="39">
        <f t="shared" si="1"/>
        <v>1441</v>
      </c>
      <c r="D30" s="39">
        <f t="shared" si="1"/>
        <v>7</v>
      </c>
      <c r="E30" s="39">
        <f t="shared" si="1"/>
        <v>779</v>
      </c>
      <c r="F30" s="39">
        <f t="shared" si="1"/>
        <v>31</v>
      </c>
      <c r="G30" s="39">
        <f t="shared" si="0"/>
        <v>2258</v>
      </c>
    </row>
    <row r="31" spans="1:7" ht="15.75">
      <c r="A31" s="453"/>
      <c r="B31" s="83" t="s">
        <v>3</v>
      </c>
      <c r="C31" s="39">
        <f t="shared" si="1"/>
        <v>0</v>
      </c>
      <c r="D31" s="39">
        <f t="shared" si="1"/>
        <v>0</v>
      </c>
      <c r="E31" s="39">
        <f t="shared" si="1"/>
        <v>0</v>
      </c>
      <c r="F31" s="39">
        <f t="shared" si="1"/>
        <v>0</v>
      </c>
      <c r="G31" s="39">
        <f t="shared" si="0"/>
        <v>0</v>
      </c>
    </row>
    <row r="32" spans="1:7" ht="15.75">
      <c r="A32" s="454"/>
      <c r="B32" s="83">
        <v>3</v>
      </c>
      <c r="C32" s="39">
        <f t="shared" si="1"/>
        <v>184</v>
      </c>
      <c r="D32" s="39">
        <f t="shared" si="1"/>
        <v>4</v>
      </c>
      <c r="E32" s="39">
        <f t="shared" si="1"/>
        <v>239</v>
      </c>
      <c r="F32" s="39">
        <f t="shared" si="1"/>
        <v>29</v>
      </c>
      <c r="G32" s="39">
        <f t="shared" si="0"/>
        <v>456</v>
      </c>
    </row>
    <row r="33" spans="1:7" ht="15.75">
      <c r="A33" s="450" t="s">
        <v>189</v>
      </c>
      <c r="B33" s="451"/>
      <c r="C33" s="39">
        <f>SUM(C29:C32)</f>
        <v>4342</v>
      </c>
      <c r="D33" s="39">
        <f>SUM(D29:D32)</f>
        <v>24</v>
      </c>
      <c r="E33" s="39">
        <f>SUM(E29:E32)</f>
        <v>2628</v>
      </c>
      <c r="F33" s="39">
        <f>SUM(F29:F32)</f>
        <v>74</v>
      </c>
      <c r="G33" s="39">
        <f>SUM(C33:F33)</f>
        <v>7068</v>
      </c>
    </row>
    <row r="34" spans="1:3" s="48" customFormat="1" ht="15.75">
      <c r="A34" s="50"/>
      <c r="C34" s="47"/>
    </row>
    <row r="35" ht="15.75">
      <c r="A35" t="s">
        <v>41</v>
      </c>
    </row>
  </sheetData>
  <sheetProtection/>
  <mergeCells count="13">
    <mergeCell ref="A8:B8"/>
    <mergeCell ref="A13:B13"/>
    <mergeCell ref="G2:G3"/>
    <mergeCell ref="A1:G1"/>
    <mergeCell ref="C2:D2"/>
    <mergeCell ref="E2:F2"/>
    <mergeCell ref="B2:B3"/>
    <mergeCell ref="A2:A3"/>
    <mergeCell ref="A18:B18"/>
    <mergeCell ref="A23:B23"/>
    <mergeCell ref="A28:B28"/>
    <mergeCell ref="A33:B33"/>
    <mergeCell ref="A29:A3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zoomScalePageLayoutView="0" workbookViewId="0" topLeftCell="A1">
      <selection activeCell="A1" sqref="A1:H1"/>
    </sheetView>
  </sheetViews>
  <sheetFormatPr defaultColWidth="9.00390625" defaultRowHeight="15.75"/>
  <cols>
    <col min="1" max="1" width="19.375" style="0" customWidth="1"/>
    <col min="2" max="2" width="15.125" style="0" customWidth="1"/>
    <col min="3" max="3" width="19.875" style="0" customWidth="1"/>
    <col min="4" max="5" width="9.125" style="0" customWidth="1"/>
    <col min="6" max="6" width="9.50390625" style="0" customWidth="1"/>
    <col min="7" max="7" width="12.00390625" style="0" customWidth="1"/>
    <col min="8" max="8" width="12.875" style="0" customWidth="1"/>
    <col min="9" max="9" width="10.875" style="0" customWidth="1"/>
  </cols>
  <sheetData>
    <row r="1" spans="1:9" ht="45" customHeight="1">
      <c r="A1" s="471" t="s">
        <v>97</v>
      </c>
      <c r="B1" s="471"/>
      <c r="C1" s="471"/>
      <c r="D1" s="471"/>
      <c r="E1" s="471"/>
      <c r="F1" s="471"/>
      <c r="G1" s="471"/>
      <c r="H1" s="471"/>
      <c r="I1" s="33"/>
    </row>
    <row r="2" spans="1:9" ht="29.25" customHeight="1" thickBot="1">
      <c r="A2" s="45" t="s">
        <v>66</v>
      </c>
      <c r="B2" s="19"/>
      <c r="C2" s="19"/>
      <c r="D2" s="19"/>
      <c r="E2" s="19"/>
      <c r="F2" s="19"/>
      <c r="G2" s="19"/>
      <c r="H2" s="19"/>
      <c r="I2" s="19"/>
    </row>
    <row r="3" spans="1:9" ht="30.75" customHeight="1" thickBot="1">
      <c r="A3" s="53" t="s">
        <v>36</v>
      </c>
      <c r="B3" s="70" t="s">
        <v>32</v>
      </c>
      <c r="C3" s="70" t="s">
        <v>59</v>
      </c>
      <c r="D3" s="70" t="s">
        <v>82</v>
      </c>
      <c r="E3" s="70" t="s">
        <v>80</v>
      </c>
      <c r="F3" s="70" t="s">
        <v>63</v>
      </c>
      <c r="G3" s="70" t="s">
        <v>64</v>
      </c>
      <c r="H3" s="71" t="s">
        <v>67</v>
      </c>
      <c r="I3" s="31"/>
    </row>
    <row r="4" spans="1:9" ht="15.75">
      <c r="A4" s="40" t="s">
        <v>190</v>
      </c>
      <c r="B4" s="40" t="s">
        <v>190</v>
      </c>
      <c r="C4" s="40" t="s">
        <v>190</v>
      </c>
      <c r="D4" s="40" t="s">
        <v>190</v>
      </c>
      <c r="E4" s="40" t="s">
        <v>190</v>
      </c>
      <c r="F4" s="40" t="s">
        <v>190</v>
      </c>
      <c r="G4" s="40" t="s">
        <v>190</v>
      </c>
      <c r="H4" s="40" t="s">
        <v>190</v>
      </c>
      <c r="I4" s="6"/>
    </row>
    <row r="5" ht="15.75">
      <c r="I5" s="23"/>
    </row>
    <row r="6" ht="15.75">
      <c r="I6" s="23"/>
    </row>
    <row r="7" spans="1:9" ht="16.5" thickBot="1">
      <c r="A7" s="80" t="s">
        <v>96</v>
      </c>
      <c r="I7" s="23"/>
    </row>
    <row r="8" spans="1:9" ht="63.75" thickBot="1">
      <c r="A8" s="53" t="s">
        <v>36</v>
      </c>
      <c r="B8" s="70" t="s">
        <v>32</v>
      </c>
      <c r="C8" s="70" t="s">
        <v>59</v>
      </c>
      <c r="D8" s="70" t="s">
        <v>82</v>
      </c>
      <c r="E8" s="70" t="s">
        <v>80</v>
      </c>
      <c r="F8" s="70" t="s">
        <v>63</v>
      </c>
      <c r="G8" s="70" t="s">
        <v>64</v>
      </c>
      <c r="H8" s="71" t="s">
        <v>95</v>
      </c>
      <c r="I8" s="23"/>
    </row>
    <row r="9" spans="1:9" ht="16.5" customHeight="1">
      <c r="A9" s="108" t="s">
        <v>123</v>
      </c>
      <c r="B9" s="108" t="s">
        <v>130</v>
      </c>
      <c r="C9" s="108" t="s">
        <v>194</v>
      </c>
      <c r="D9" s="108" t="s">
        <v>127</v>
      </c>
      <c r="E9" s="108" t="s">
        <v>121</v>
      </c>
      <c r="F9" s="108" t="s">
        <v>124</v>
      </c>
      <c r="G9" s="108" t="s">
        <v>128</v>
      </c>
      <c r="H9" s="109">
        <v>40786</v>
      </c>
      <c r="I9" s="31"/>
    </row>
    <row r="10" spans="1:9" ht="30">
      <c r="A10" s="108" t="s">
        <v>123</v>
      </c>
      <c r="B10" s="108" t="s">
        <v>131</v>
      </c>
      <c r="C10" s="108" t="s">
        <v>193</v>
      </c>
      <c r="D10" s="108" t="s">
        <v>132</v>
      </c>
      <c r="E10" s="108" t="s">
        <v>126</v>
      </c>
      <c r="F10" s="108" t="s">
        <v>124</v>
      </c>
      <c r="G10" s="108" t="s">
        <v>129</v>
      </c>
      <c r="H10" s="109">
        <v>40786</v>
      </c>
      <c r="I10" s="6"/>
    </row>
    <row r="11" spans="1:8" ht="28.5">
      <c r="A11" s="21" t="s">
        <v>191</v>
      </c>
      <c r="B11" s="21" t="s">
        <v>130</v>
      </c>
      <c r="C11" s="21" t="s">
        <v>192</v>
      </c>
      <c r="D11" s="21" t="s">
        <v>191</v>
      </c>
      <c r="E11" s="21" t="s">
        <v>121</v>
      </c>
      <c r="F11" s="21" t="s">
        <v>124</v>
      </c>
      <c r="G11" s="21" t="s">
        <v>128</v>
      </c>
      <c r="H11" s="120" t="s">
        <v>196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B19" sqref="B19"/>
    </sheetView>
  </sheetViews>
  <sheetFormatPr defaultColWidth="9.00390625" defaultRowHeight="15.75"/>
  <cols>
    <col min="1" max="1" width="17.375" style="0" customWidth="1"/>
    <col min="2" max="2" width="57.875" style="0" customWidth="1"/>
  </cols>
  <sheetData>
    <row r="1" spans="1:2" ht="55.5" customHeight="1" thickBot="1">
      <c r="A1" s="475" t="s">
        <v>555</v>
      </c>
      <c r="B1" s="475"/>
    </row>
    <row r="2" spans="1:2" ht="16.5" thickBot="1">
      <c r="A2" s="259" t="s">
        <v>36</v>
      </c>
      <c r="B2" s="260" t="s">
        <v>544</v>
      </c>
    </row>
    <row r="3" spans="1:2" ht="15.75">
      <c r="A3" s="3" t="s">
        <v>556</v>
      </c>
      <c r="B3" s="3" t="s">
        <v>557</v>
      </c>
    </row>
    <row r="4" spans="1:2" ht="15.75">
      <c r="A4" s="3" t="s">
        <v>556</v>
      </c>
      <c r="B4" s="3" t="s">
        <v>558</v>
      </c>
    </row>
    <row r="5" spans="1:2" ht="15.75">
      <c r="A5" s="52" t="s">
        <v>174</v>
      </c>
      <c r="B5" s="3" t="s">
        <v>559</v>
      </c>
    </row>
    <row r="6" spans="1:2" ht="15.75">
      <c r="A6" s="52" t="s">
        <v>174</v>
      </c>
      <c r="B6" s="52" t="s">
        <v>560</v>
      </c>
    </row>
    <row r="7" spans="1:2" ht="15.75">
      <c r="A7" s="52" t="s">
        <v>561</v>
      </c>
      <c r="B7" s="52" t="s">
        <v>562</v>
      </c>
    </row>
    <row r="8" spans="1:2" ht="15.75">
      <c r="A8" s="3" t="s">
        <v>133</v>
      </c>
      <c r="B8" s="3" t="s">
        <v>563</v>
      </c>
    </row>
    <row r="9" spans="1:2" ht="15.75">
      <c r="A9" s="3" t="s">
        <v>133</v>
      </c>
      <c r="B9" s="3" t="s">
        <v>564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7">
      <selection activeCell="C24" sqref="C24"/>
    </sheetView>
  </sheetViews>
  <sheetFormatPr defaultColWidth="9.00390625" defaultRowHeight="15.75"/>
  <cols>
    <col min="1" max="1" width="32.125" style="0" customWidth="1"/>
    <col min="2" max="2" width="28.50390625" style="0" customWidth="1"/>
    <col min="3" max="3" width="40.125" style="0" customWidth="1"/>
  </cols>
  <sheetData>
    <row r="1" spans="1:3" ht="20.25">
      <c r="A1" s="475" t="s">
        <v>543</v>
      </c>
      <c r="B1" s="475"/>
      <c r="C1" s="475"/>
    </row>
    <row r="2" spans="1:3" ht="21" thickBot="1">
      <c r="A2" s="254" t="s">
        <v>66</v>
      </c>
      <c r="B2" s="146"/>
      <c r="C2" s="146"/>
    </row>
    <row r="3" spans="1:3" ht="16.5" thickBot="1">
      <c r="A3" s="255" t="s">
        <v>36</v>
      </c>
      <c r="B3" s="68" t="s">
        <v>544</v>
      </c>
      <c r="C3" s="69" t="s">
        <v>67</v>
      </c>
    </row>
    <row r="4" spans="1:3" ht="15.75">
      <c r="A4" s="52"/>
      <c r="B4" s="52"/>
      <c r="C4" s="52"/>
    </row>
    <row r="5" spans="1:3" ht="15.75">
      <c r="A5" s="52"/>
      <c r="B5" s="52"/>
      <c r="C5" s="52"/>
    </row>
    <row r="6" spans="1:3" ht="15.75">
      <c r="A6" s="52"/>
      <c r="B6" s="52"/>
      <c r="C6" s="52"/>
    </row>
    <row r="7" spans="1:3" ht="15.75">
      <c r="A7" s="3"/>
      <c r="B7" s="3"/>
      <c r="C7" s="3"/>
    </row>
    <row r="8" spans="1:3" ht="15.75">
      <c r="A8" s="3"/>
      <c r="B8" s="3"/>
      <c r="C8" s="3"/>
    </row>
    <row r="9" spans="1:3" ht="15.75">
      <c r="A9" s="3"/>
      <c r="B9" s="3"/>
      <c r="C9" s="3"/>
    </row>
    <row r="10" ht="15.75">
      <c r="C10" s="14"/>
    </row>
    <row r="11" ht="16.5" thickBot="1">
      <c r="A11" s="80" t="s">
        <v>96</v>
      </c>
    </row>
    <row r="12" spans="1:3" ht="16.5" thickBot="1">
      <c r="A12" s="255" t="s">
        <v>36</v>
      </c>
      <c r="B12" s="68" t="s">
        <v>544</v>
      </c>
      <c r="C12" s="69" t="s">
        <v>545</v>
      </c>
    </row>
    <row r="13" spans="1:3" ht="15.75">
      <c r="A13" s="52" t="s">
        <v>546</v>
      </c>
      <c r="B13" s="52" t="s">
        <v>547</v>
      </c>
      <c r="C13" s="52" t="s">
        <v>548</v>
      </c>
    </row>
    <row r="14" spans="1:3" ht="15.75">
      <c r="A14" s="3" t="s">
        <v>546</v>
      </c>
      <c r="B14" s="3" t="s">
        <v>549</v>
      </c>
      <c r="C14" s="3" t="s">
        <v>550</v>
      </c>
    </row>
    <row r="15" spans="1:3" ht="15.75">
      <c r="A15" s="52" t="s">
        <v>223</v>
      </c>
      <c r="B15" s="52" t="s">
        <v>551</v>
      </c>
      <c r="C15" s="256" t="s">
        <v>552</v>
      </c>
    </row>
    <row r="16" spans="1:3" ht="15.75">
      <c r="A16" s="52" t="s">
        <v>223</v>
      </c>
      <c r="B16" s="52" t="s">
        <v>553</v>
      </c>
      <c r="C16" s="256" t="s">
        <v>552</v>
      </c>
    </row>
    <row r="17" spans="1:3" ht="31.5">
      <c r="A17" s="257" t="s">
        <v>223</v>
      </c>
      <c r="B17" s="150" t="s">
        <v>554</v>
      </c>
      <c r="C17" s="258" t="s">
        <v>552</v>
      </c>
    </row>
  </sheetData>
  <mergeCells count="1">
    <mergeCell ref="A1:C1"/>
  </mergeCells>
  <printOptions/>
  <pageMargins left="0.75" right="0.75" top="1" bottom="1" header="0.4921259845" footer="0.492125984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93"/>
  <sheetViews>
    <sheetView workbookViewId="0" topLeftCell="A86">
      <selection activeCell="A5" sqref="A5"/>
    </sheetView>
  </sheetViews>
  <sheetFormatPr defaultColWidth="9.00390625" defaultRowHeight="15.75"/>
  <cols>
    <col min="2" max="2" width="13.25390625" style="0" customWidth="1"/>
    <col min="3" max="3" width="11.25390625" style="0" customWidth="1"/>
    <col min="6" max="6" width="11.00390625" style="0" customWidth="1"/>
    <col min="7" max="7" width="18.375" style="0" customWidth="1"/>
    <col min="8" max="8" width="24.75390625" style="0" customWidth="1"/>
    <col min="9" max="9" width="12.75390625" style="0" customWidth="1"/>
    <col min="10" max="10" width="15.50390625" style="0" customWidth="1"/>
    <col min="11" max="11" width="16.375" style="0" customWidth="1"/>
    <col min="12" max="12" width="12.125" style="0" customWidth="1"/>
  </cols>
  <sheetData>
    <row r="1" spans="1:12" ht="21" thickBot="1">
      <c r="A1" s="447" t="s">
        <v>236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</row>
    <row r="2" spans="1:12" ht="117" customHeight="1" thickBot="1">
      <c r="A2" s="153" t="s">
        <v>237</v>
      </c>
      <c r="B2" s="154" t="s">
        <v>36</v>
      </c>
      <c r="C2" s="154" t="s">
        <v>238</v>
      </c>
      <c r="D2" s="154" t="s">
        <v>239</v>
      </c>
      <c r="E2" s="154" t="s">
        <v>240</v>
      </c>
      <c r="F2" s="154" t="s">
        <v>241</v>
      </c>
      <c r="G2" s="154" t="s">
        <v>242</v>
      </c>
      <c r="H2" s="154" t="s">
        <v>243</v>
      </c>
      <c r="I2" s="154" t="s">
        <v>244</v>
      </c>
      <c r="J2" s="154" t="s">
        <v>245</v>
      </c>
      <c r="K2" s="154" t="s">
        <v>246</v>
      </c>
      <c r="L2" s="155" t="s">
        <v>247</v>
      </c>
    </row>
    <row r="3" spans="1:12" ht="49.5" customHeight="1">
      <c r="A3" s="253">
        <v>1</v>
      </c>
      <c r="B3" s="157" t="s">
        <v>123</v>
      </c>
      <c r="C3" s="157" t="s">
        <v>248</v>
      </c>
      <c r="D3" s="158" t="s">
        <v>249</v>
      </c>
      <c r="E3" s="159" t="s">
        <v>250</v>
      </c>
      <c r="F3" s="160" t="s">
        <v>251</v>
      </c>
      <c r="G3" s="161" t="s">
        <v>252</v>
      </c>
      <c r="H3" s="161" t="s">
        <v>253</v>
      </c>
      <c r="I3" s="162" t="s">
        <v>254</v>
      </c>
      <c r="J3" s="163">
        <v>1889</v>
      </c>
      <c r="K3" s="157">
        <v>0</v>
      </c>
      <c r="L3" s="164"/>
    </row>
    <row r="4" spans="1:12" ht="25.5">
      <c r="A4" s="165">
        <v>2</v>
      </c>
      <c r="B4" s="157" t="s">
        <v>123</v>
      </c>
      <c r="C4" s="166" t="s">
        <v>248</v>
      </c>
      <c r="D4" s="158" t="s">
        <v>249</v>
      </c>
      <c r="E4" s="159" t="s">
        <v>250</v>
      </c>
      <c r="F4" s="160" t="s">
        <v>255</v>
      </c>
      <c r="G4" s="161" t="s">
        <v>256</v>
      </c>
      <c r="H4" s="161" t="s">
        <v>257</v>
      </c>
      <c r="I4" s="159" t="s">
        <v>258</v>
      </c>
      <c r="J4" s="167">
        <v>673</v>
      </c>
      <c r="K4" s="166">
        <v>0</v>
      </c>
      <c r="L4" s="168"/>
    </row>
    <row r="5" spans="1:12" ht="26.25" customHeight="1">
      <c r="A5" s="165">
        <v>3</v>
      </c>
      <c r="B5" s="157" t="s">
        <v>123</v>
      </c>
      <c r="C5" s="166" t="s">
        <v>248</v>
      </c>
      <c r="D5" s="159" t="s">
        <v>249</v>
      </c>
      <c r="E5" s="159" t="s">
        <v>250</v>
      </c>
      <c r="F5" s="160" t="s">
        <v>259</v>
      </c>
      <c r="G5" s="161" t="s">
        <v>260</v>
      </c>
      <c r="H5" s="161" t="s">
        <v>261</v>
      </c>
      <c r="I5" s="159" t="s">
        <v>258</v>
      </c>
      <c r="J5" s="167">
        <v>968</v>
      </c>
      <c r="K5" s="166">
        <v>0</v>
      </c>
      <c r="L5" s="169"/>
    </row>
    <row r="6" spans="1:12" ht="26.25" customHeight="1">
      <c r="A6" s="165">
        <v>4</v>
      </c>
      <c r="B6" s="157" t="s">
        <v>123</v>
      </c>
      <c r="C6" s="166" t="s">
        <v>248</v>
      </c>
      <c r="D6" s="159" t="s">
        <v>249</v>
      </c>
      <c r="E6" s="159" t="s">
        <v>250</v>
      </c>
      <c r="F6" s="160" t="s">
        <v>262</v>
      </c>
      <c r="G6" s="161" t="s">
        <v>263</v>
      </c>
      <c r="H6" s="161" t="s">
        <v>264</v>
      </c>
      <c r="I6" s="159" t="s">
        <v>258</v>
      </c>
      <c r="J6" s="167">
        <v>4992</v>
      </c>
      <c r="K6" s="166">
        <v>0</v>
      </c>
      <c r="L6" s="169"/>
    </row>
    <row r="7" spans="1:12" ht="27" customHeight="1">
      <c r="A7" s="165">
        <v>5</v>
      </c>
      <c r="B7" s="157" t="s">
        <v>123</v>
      </c>
      <c r="C7" s="166" t="s">
        <v>248</v>
      </c>
      <c r="D7" s="159" t="s">
        <v>249</v>
      </c>
      <c r="E7" s="159" t="s">
        <v>250</v>
      </c>
      <c r="F7" s="160" t="s">
        <v>265</v>
      </c>
      <c r="G7" s="161" t="s">
        <v>266</v>
      </c>
      <c r="H7" s="161" t="s">
        <v>267</v>
      </c>
      <c r="I7" s="159" t="s">
        <v>268</v>
      </c>
      <c r="J7" s="167">
        <v>2980</v>
      </c>
      <c r="K7" s="166">
        <v>0</v>
      </c>
      <c r="L7" s="170"/>
    </row>
    <row r="8" spans="1:12" ht="25.5">
      <c r="A8" s="165">
        <v>6</v>
      </c>
      <c r="B8" s="157" t="s">
        <v>123</v>
      </c>
      <c r="C8" s="166" t="s">
        <v>248</v>
      </c>
      <c r="D8" s="159" t="s">
        <v>249</v>
      </c>
      <c r="E8" s="159" t="s">
        <v>250</v>
      </c>
      <c r="F8" s="160" t="s">
        <v>269</v>
      </c>
      <c r="G8" s="161" t="s">
        <v>270</v>
      </c>
      <c r="H8" s="161" t="s">
        <v>271</v>
      </c>
      <c r="I8" s="159" t="s">
        <v>272</v>
      </c>
      <c r="J8" s="167">
        <v>4387</v>
      </c>
      <c r="K8" s="166">
        <v>0</v>
      </c>
      <c r="L8" s="169"/>
    </row>
    <row r="9" spans="1:12" ht="38.25">
      <c r="A9" s="165">
        <v>7</v>
      </c>
      <c r="B9" s="157" t="s">
        <v>123</v>
      </c>
      <c r="C9" s="166" t="s">
        <v>248</v>
      </c>
      <c r="D9" s="159" t="s">
        <v>249</v>
      </c>
      <c r="E9" s="159" t="s">
        <v>250</v>
      </c>
      <c r="F9" s="160" t="s">
        <v>273</v>
      </c>
      <c r="G9" s="161" t="s">
        <v>274</v>
      </c>
      <c r="H9" s="161" t="s">
        <v>275</v>
      </c>
      <c r="I9" s="159" t="s">
        <v>272</v>
      </c>
      <c r="J9" s="167">
        <v>2041</v>
      </c>
      <c r="K9" s="166">
        <v>0</v>
      </c>
      <c r="L9" s="169"/>
    </row>
    <row r="10" spans="1:12" ht="25.5">
      <c r="A10" s="165">
        <v>8</v>
      </c>
      <c r="B10" s="157" t="s">
        <v>123</v>
      </c>
      <c r="C10" s="166" t="s">
        <v>248</v>
      </c>
      <c r="D10" s="159" t="s">
        <v>249</v>
      </c>
      <c r="E10" s="159" t="s">
        <v>250</v>
      </c>
      <c r="F10" s="160" t="s">
        <v>276</v>
      </c>
      <c r="G10" s="161" t="s">
        <v>277</v>
      </c>
      <c r="H10" s="161" t="s">
        <v>278</v>
      </c>
      <c r="I10" s="159" t="s">
        <v>272</v>
      </c>
      <c r="J10" s="167">
        <v>1476</v>
      </c>
      <c r="K10" s="166">
        <v>0</v>
      </c>
      <c r="L10" s="169"/>
    </row>
    <row r="11" spans="1:12" ht="19.5" customHeight="1">
      <c r="A11" s="165">
        <v>9</v>
      </c>
      <c r="B11" s="157" t="s">
        <v>123</v>
      </c>
      <c r="C11" s="171" t="s">
        <v>248</v>
      </c>
      <c r="D11" s="172" t="s">
        <v>249</v>
      </c>
      <c r="E11" s="172" t="s">
        <v>250</v>
      </c>
      <c r="F11" s="173" t="s">
        <v>279</v>
      </c>
      <c r="G11" s="174" t="s">
        <v>280</v>
      </c>
      <c r="H11" s="174" t="s">
        <v>281</v>
      </c>
      <c r="I11" s="172" t="s">
        <v>272</v>
      </c>
      <c r="J11" s="175">
        <v>4476</v>
      </c>
      <c r="K11" s="171">
        <v>0</v>
      </c>
      <c r="L11" s="176"/>
    </row>
    <row r="12" spans="1:12" ht="25.5">
      <c r="A12" s="165">
        <v>10</v>
      </c>
      <c r="B12" s="157" t="s">
        <v>123</v>
      </c>
      <c r="C12" s="166" t="s">
        <v>248</v>
      </c>
      <c r="D12" s="159" t="s">
        <v>249</v>
      </c>
      <c r="E12" s="159" t="s">
        <v>250</v>
      </c>
      <c r="F12" s="160" t="s">
        <v>282</v>
      </c>
      <c r="G12" s="161" t="s">
        <v>283</v>
      </c>
      <c r="H12" s="161" t="s">
        <v>284</v>
      </c>
      <c r="I12" s="159" t="s">
        <v>272</v>
      </c>
      <c r="J12" s="167">
        <v>3598</v>
      </c>
      <c r="K12" s="166">
        <v>0</v>
      </c>
      <c r="L12" s="169"/>
    </row>
    <row r="13" spans="1:12" ht="40.5" customHeight="1">
      <c r="A13" s="165">
        <v>11</v>
      </c>
      <c r="B13" s="157" t="s">
        <v>123</v>
      </c>
      <c r="C13" s="166" t="s">
        <v>248</v>
      </c>
      <c r="D13" s="159" t="s">
        <v>249</v>
      </c>
      <c r="E13" s="159" t="s">
        <v>250</v>
      </c>
      <c r="F13" s="160" t="s">
        <v>285</v>
      </c>
      <c r="G13" s="161" t="s">
        <v>286</v>
      </c>
      <c r="H13" s="161" t="s">
        <v>287</v>
      </c>
      <c r="I13" s="159" t="s">
        <v>272</v>
      </c>
      <c r="J13" s="167">
        <v>3916</v>
      </c>
      <c r="K13" s="166">
        <v>0</v>
      </c>
      <c r="L13" s="169"/>
    </row>
    <row r="14" spans="1:12" ht="52.5" customHeight="1">
      <c r="A14" s="165">
        <v>12</v>
      </c>
      <c r="B14" s="157" t="s">
        <v>123</v>
      </c>
      <c r="C14" s="166" t="s">
        <v>248</v>
      </c>
      <c r="D14" s="159" t="s">
        <v>249</v>
      </c>
      <c r="E14" s="159" t="s">
        <v>250</v>
      </c>
      <c r="F14" s="160" t="s">
        <v>288</v>
      </c>
      <c r="G14" s="161" t="s">
        <v>289</v>
      </c>
      <c r="H14" s="161" t="s">
        <v>290</v>
      </c>
      <c r="I14" s="159" t="s">
        <v>272</v>
      </c>
      <c r="J14" s="167">
        <v>2573</v>
      </c>
      <c r="K14" s="167">
        <v>1942</v>
      </c>
      <c r="L14" s="169"/>
    </row>
    <row r="15" spans="1:12" ht="38.25">
      <c r="A15" s="165">
        <v>13</v>
      </c>
      <c r="B15" s="157" t="s">
        <v>123</v>
      </c>
      <c r="C15" s="166" t="s">
        <v>248</v>
      </c>
      <c r="D15" s="159" t="s">
        <v>249</v>
      </c>
      <c r="E15" s="159" t="s">
        <v>250</v>
      </c>
      <c r="F15" s="160" t="s">
        <v>291</v>
      </c>
      <c r="G15" s="161" t="s">
        <v>292</v>
      </c>
      <c r="H15" s="161" t="s">
        <v>293</v>
      </c>
      <c r="I15" s="159" t="s">
        <v>294</v>
      </c>
      <c r="J15" s="167">
        <v>1421</v>
      </c>
      <c r="K15" s="166">
        <v>0</v>
      </c>
      <c r="L15" s="169"/>
    </row>
    <row r="16" spans="1:12" ht="48.75" customHeight="1">
      <c r="A16" s="160">
        <v>14</v>
      </c>
      <c r="B16" s="157" t="s">
        <v>123</v>
      </c>
      <c r="C16" s="166" t="s">
        <v>248</v>
      </c>
      <c r="D16" s="159" t="s">
        <v>249</v>
      </c>
      <c r="E16" s="159" t="s">
        <v>250</v>
      </c>
      <c r="F16" s="160" t="s">
        <v>295</v>
      </c>
      <c r="G16" s="161" t="s">
        <v>296</v>
      </c>
      <c r="H16" s="161" t="s">
        <v>297</v>
      </c>
      <c r="I16" s="159" t="s">
        <v>272</v>
      </c>
      <c r="J16" s="177">
        <v>2315</v>
      </c>
      <c r="K16" s="178">
        <v>0</v>
      </c>
      <c r="L16" s="179"/>
    </row>
    <row r="17" spans="1:12" ht="44.25" customHeight="1">
      <c r="A17" s="160">
        <v>15</v>
      </c>
      <c r="B17" s="157" t="s">
        <v>123</v>
      </c>
      <c r="C17" s="166" t="s">
        <v>248</v>
      </c>
      <c r="D17" s="159" t="s">
        <v>249</v>
      </c>
      <c r="E17" s="159" t="s">
        <v>250</v>
      </c>
      <c r="F17" s="160" t="s">
        <v>298</v>
      </c>
      <c r="G17" s="161" t="s">
        <v>299</v>
      </c>
      <c r="H17" s="161" t="s">
        <v>300</v>
      </c>
      <c r="I17" s="180" t="s">
        <v>301</v>
      </c>
      <c r="J17" s="177">
        <v>7686</v>
      </c>
      <c r="K17" s="177">
        <v>4075</v>
      </c>
      <c r="L17" s="179"/>
    </row>
    <row r="18" spans="1:12" ht="42" customHeight="1">
      <c r="A18" s="160">
        <v>16</v>
      </c>
      <c r="B18" s="157" t="s">
        <v>123</v>
      </c>
      <c r="C18" s="166" t="s">
        <v>248</v>
      </c>
      <c r="D18" s="159" t="s">
        <v>249</v>
      </c>
      <c r="E18" s="159" t="s">
        <v>250</v>
      </c>
      <c r="F18" s="160" t="s">
        <v>302</v>
      </c>
      <c r="G18" s="161" t="s">
        <v>303</v>
      </c>
      <c r="H18" s="161" t="s">
        <v>304</v>
      </c>
      <c r="I18" s="180" t="s">
        <v>301</v>
      </c>
      <c r="J18" s="177">
        <v>1484</v>
      </c>
      <c r="K18" s="178">
        <v>0</v>
      </c>
      <c r="L18" s="179"/>
    </row>
    <row r="19" spans="1:12" ht="51.75" customHeight="1">
      <c r="A19" s="160">
        <v>17</v>
      </c>
      <c r="B19" s="157" t="s">
        <v>123</v>
      </c>
      <c r="C19" s="166" t="s">
        <v>248</v>
      </c>
      <c r="D19" s="159" t="s">
        <v>249</v>
      </c>
      <c r="E19" s="159" t="s">
        <v>250</v>
      </c>
      <c r="F19" s="160" t="s">
        <v>305</v>
      </c>
      <c r="G19" s="161" t="s">
        <v>303</v>
      </c>
      <c r="H19" s="161" t="s">
        <v>306</v>
      </c>
      <c r="I19" s="180" t="s">
        <v>301</v>
      </c>
      <c r="J19" s="177">
        <v>1288</v>
      </c>
      <c r="K19" s="178">
        <v>0</v>
      </c>
      <c r="L19" s="179"/>
    </row>
    <row r="20" spans="1:12" ht="25.5">
      <c r="A20" s="160">
        <v>18</v>
      </c>
      <c r="B20" s="157" t="s">
        <v>123</v>
      </c>
      <c r="C20" s="166" t="s">
        <v>248</v>
      </c>
      <c r="D20" s="159" t="s">
        <v>249</v>
      </c>
      <c r="E20" s="159" t="s">
        <v>250</v>
      </c>
      <c r="F20" s="160" t="s">
        <v>307</v>
      </c>
      <c r="G20" s="161" t="s">
        <v>263</v>
      </c>
      <c r="H20" s="161" t="s">
        <v>308</v>
      </c>
      <c r="I20" s="180" t="s">
        <v>309</v>
      </c>
      <c r="J20" s="177">
        <v>3787</v>
      </c>
      <c r="K20" s="177">
        <v>1660</v>
      </c>
      <c r="L20" s="179"/>
    </row>
    <row r="21" spans="1:12" ht="59.25" customHeight="1">
      <c r="A21" s="181">
        <v>19</v>
      </c>
      <c r="B21" s="182" t="s">
        <v>143</v>
      </c>
      <c r="C21" s="183" t="s">
        <v>248</v>
      </c>
      <c r="D21" s="184" t="s">
        <v>249</v>
      </c>
      <c r="E21" s="184" t="s">
        <v>250</v>
      </c>
      <c r="F21" s="184" t="s">
        <v>310</v>
      </c>
      <c r="G21" s="183" t="s">
        <v>311</v>
      </c>
      <c r="H21" s="183" t="s">
        <v>312</v>
      </c>
      <c r="I21" s="184" t="s">
        <v>301</v>
      </c>
      <c r="J21" s="185">
        <v>8636</v>
      </c>
      <c r="K21" s="185">
        <v>0</v>
      </c>
      <c r="L21" s="184"/>
    </row>
    <row r="22" spans="1:12" ht="61.5" customHeight="1">
      <c r="A22" s="160">
        <v>20</v>
      </c>
      <c r="B22" s="182" t="s">
        <v>143</v>
      </c>
      <c r="C22" s="186" t="s">
        <v>248</v>
      </c>
      <c r="D22" s="187" t="s">
        <v>249</v>
      </c>
      <c r="E22" s="187" t="s">
        <v>250</v>
      </c>
      <c r="F22" s="187" t="s">
        <v>313</v>
      </c>
      <c r="G22" s="188" t="s">
        <v>314</v>
      </c>
      <c r="H22" s="188" t="s">
        <v>315</v>
      </c>
      <c r="I22" s="189" t="s">
        <v>301</v>
      </c>
      <c r="J22" s="190">
        <v>3953</v>
      </c>
      <c r="K22" s="190">
        <v>0</v>
      </c>
      <c r="L22" s="128"/>
    </row>
    <row r="23" spans="1:12" ht="54.75" customHeight="1">
      <c r="A23" s="160">
        <v>21</v>
      </c>
      <c r="B23" s="182" t="s">
        <v>143</v>
      </c>
      <c r="C23" s="186" t="s">
        <v>248</v>
      </c>
      <c r="D23" s="187" t="s">
        <v>249</v>
      </c>
      <c r="E23" s="187" t="s">
        <v>250</v>
      </c>
      <c r="F23" s="191" t="s">
        <v>316</v>
      </c>
      <c r="G23" s="183" t="s">
        <v>317</v>
      </c>
      <c r="H23" s="183" t="s">
        <v>318</v>
      </c>
      <c r="I23" s="192" t="s">
        <v>301</v>
      </c>
      <c r="J23" s="193">
        <v>3950</v>
      </c>
      <c r="K23" s="193">
        <v>2158</v>
      </c>
      <c r="L23" s="129"/>
    </row>
    <row r="24" spans="1:12" ht="107.25" customHeight="1">
      <c r="A24" s="160">
        <v>22</v>
      </c>
      <c r="B24" s="182" t="s">
        <v>143</v>
      </c>
      <c r="C24" s="186" t="s">
        <v>248</v>
      </c>
      <c r="D24" s="187" t="s">
        <v>249</v>
      </c>
      <c r="E24" s="187" t="s">
        <v>250</v>
      </c>
      <c r="F24" s="191" t="s">
        <v>319</v>
      </c>
      <c r="G24" s="183" t="s">
        <v>320</v>
      </c>
      <c r="H24" s="183" t="s">
        <v>321</v>
      </c>
      <c r="I24" s="192" t="s">
        <v>301</v>
      </c>
      <c r="J24" s="193">
        <v>1429</v>
      </c>
      <c r="K24" s="194">
        <v>0</v>
      </c>
      <c r="L24" s="129"/>
    </row>
    <row r="25" spans="1:12" ht="25.5">
      <c r="A25" s="160">
        <v>23</v>
      </c>
      <c r="B25" s="182" t="s">
        <v>143</v>
      </c>
      <c r="C25" s="186" t="s">
        <v>248</v>
      </c>
      <c r="D25" s="187" t="s">
        <v>249</v>
      </c>
      <c r="E25" s="187" t="s">
        <v>250</v>
      </c>
      <c r="F25" s="191" t="s">
        <v>322</v>
      </c>
      <c r="G25" s="183" t="s">
        <v>323</v>
      </c>
      <c r="H25" s="183" t="s">
        <v>324</v>
      </c>
      <c r="I25" s="192" t="s">
        <v>294</v>
      </c>
      <c r="J25" s="193">
        <v>4224</v>
      </c>
      <c r="K25" s="194">
        <v>0</v>
      </c>
      <c r="L25" s="129"/>
    </row>
    <row r="26" spans="1:12" ht="46.5" customHeight="1">
      <c r="A26" s="160">
        <v>24</v>
      </c>
      <c r="B26" s="182" t="s">
        <v>143</v>
      </c>
      <c r="C26" s="186" t="s">
        <v>248</v>
      </c>
      <c r="D26" s="187" t="s">
        <v>249</v>
      </c>
      <c r="E26" s="187" t="s">
        <v>250</v>
      </c>
      <c r="F26" s="191" t="s">
        <v>325</v>
      </c>
      <c r="G26" s="183" t="s">
        <v>326</v>
      </c>
      <c r="H26" s="183" t="s">
        <v>327</v>
      </c>
      <c r="I26" s="192" t="s">
        <v>294</v>
      </c>
      <c r="J26" s="193">
        <v>2309</v>
      </c>
      <c r="K26" s="194">
        <v>0</v>
      </c>
      <c r="L26" s="129"/>
    </row>
    <row r="27" spans="1:12" ht="25.5">
      <c r="A27" s="160">
        <v>25</v>
      </c>
      <c r="B27" s="182" t="s">
        <v>143</v>
      </c>
      <c r="C27" s="186" t="s">
        <v>248</v>
      </c>
      <c r="D27" s="187" t="s">
        <v>249</v>
      </c>
      <c r="E27" s="187" t="s">
        <v>250</v>
      </c>
      <c r="F27" s="191" t="s">
        <v>328</v>
      </c>
      <c r="G27" s="183" t="s">
        <v>329</v>
      </c>
      <c r="H27" s="183" t="s">
        <v>330</v>
      </c>
      <c r="I27" s="192" t="s">
        <v>294</v>
      </c>
      <c r="J27" s="193">
        <v>2268</v>
      </c>
      <c r="K27" s="194">
        <v>1200</v>
      </c>
      <c r="L27" s="129"/>
    </row>
    <row r="28" spans="1:12" ht="25.5">
      <c r="A28" s="160">
        <v>26</v>
      </c>
      <c r="B28" s="182" t="s">
        <v>143</v>
      </c>
      <c r="C28" s="186" t="s">
        <v>248</v>
      </c>
      <c r="D28" s="187" t="s">
        <v>249</v>
      </c>
      <c r="E28" s="187" t="s">
        <v>250</v>
      </c>
      <c r="F28" s="191" t="s">
        <v>331</v>
      </c>
      <c r="G28" s="183" t="s">
        <v>332</v>
      </c>
      <c r="H28" s="183" t="s">
        <v>333</v>
      </c>
      <c r="I28" s="192" t="s">
        <v>258</v>
      </c>
      <c r="J28" s="193">
        <v>2456</v>
      </c>
      <c r="K28" s="194">
        <v>0</v>
      </c>
      <c r="L28" s="129"/>
    </row>
    <row r="29" spans="1:12" ht="64.5" customHeight="1">
      <c r="A29" s="160">
        <v>27</v>
      </c>
      <c r="B29" s="182" t="s">
        <v>143</v>
      </c>
      <c r="C29" s="186" t="s">
        <v>248</v>
      </c>
      <c r="D29" s="187" t="s">
        <v>249</v>
      </c>
      <c r="E29" s="187" t="s">
        <v>250</v>
      </c>
      <c r="F29" s="191" t="s">
        <v>334</v>
      </c>
      <c r="G29" s="183" t="s">
        <v>335</v>
      </c>
      <c r="H29" s="183" t="s">
        <v>336</v>
      </c>
      <c r="I29" s="192" t="s">
        <v>258</v>
      </c>
      <c r="J29" s="193">
        <v>2722</v>
      </c>
      <c r="K29" s="194">
        <v>0</v>
      </c>
      <c r="L29" s="129"/>
    </row>
    <row r="30" spans="1:12" ht="54.75" customHeight="1">
      <c r="A30" s="160">
        <v>28</v>
      </c>
      <c r="B30" s="182" t="s">
        <v>143</v>
      </c>
      <c r="C30" s="194" t="s">
        <v>248</v>
      </c>
      <c r="D30" s="191" t="s">
        <v>249</v>
      </c>
      <c r="E30" s="191" t="s">
        <v>250</v>
      </c>
      <c r="F30" s="191" t="s">
        <v>337</v>
      </c>
      <c r="G30" s="183" t="s">
        <v>338</v>
      </c>
      <c r="H30" s="183" t="s">
        <v>339</v>
      </c>
      <c r="I30" s="192" t="s">
        <v>340</v>
      </c>
      <c r="J30" s="193">
        <v>829</v>
      </c>
      <c r="K30" s="194">
        <v>0</v>
      </c>
      <c r="L30" s="129"/>
    </row>
    <row r="31" spans="1:12" ht="43.5" customHeight="1">
      <c r="A31" s="160">
        <v>29</v>
      </c>
      <c r="B31" s="182" t="s">
        <v>143</v>
      </c>
      <c r="C31" s="194" t="s">
        <v>248</v>
      </c>
      <c r="D31" s="191" t="s">
        <v>249</v>
      </c>
      <c r="E31" s="191" t="s">
        <v>250</v>
      </c>
      <c r="F31" s="184" t="s">
        <v>341</v>
      </c>
      <c r="G31" s="183" t="s">
        <v>342</v>
      </c>
      <c r="H31" s="183" t="s">
        <v>343</v>
      </c>
      <c r="I31" s="192" t="s">
        <v>340</v>
      </c>
      <c r="J31" s="193">
        <v>4820</v>
      </c>
      <c r="K31" s="194">
        <v>0</v>
      </c>
      <c r="L31" s="129"/>
    </row>
    <row r="32" spans="1:12" ht="25.5">
      <c r="A32" s="160">
        <v>30</v>
      </c>
      <c r="B32" s="195" t="s">
        <v>344</v>
      </c>
      <c r="C32" s="196" t="s">
        <v>248</v>
      </c>
      <c r="D32" s="165" t="s">
        <v>249</v>
      </c>
      <c r="E32" s="165" t="s">
        <v>250</v>
      </c>
      <c r="F32" s="159" t="s">
        <v>345</v>
      </c>
      <c r="G32" s="182" t="s">
        <v>346</v>
      </c>
      <c r="H32" s="182" t="s">
        <v>347</v>
      </c>
      <c r="I32" s="197" t="s">
        <v>348</v>
      </c>
      <c r="J32" s="198">
        <v>2473</v>
      </c>
      <c r="K32" s="178">
        <v>0</v>
      </c>
      <c r="L32" s="199"/>
    </row>
    <row r="33" spans="1:12" ht="28.5" customHeight="1">
      <c r="A33" s="160">
        <v>31</v>
      </c>
      <c r="B33" s="200" t="s">
        <v>176</v>
      </c>
      <c r="C33" s="200" t="s">
        <v>248</v>
      </c>
      <c r="D33" s="201" t="s">
        <v>249</v>
      </c>
      <c r="E33" s="201" t="s">
        <v>250</v>
      </c>
      <c r="F33" s="201" t="s">
        <v>349</v>
      </c>
      <c r="G33" s="200" t="s">
        <v>350</v>
      </c>
      <c r="H33" s="202" t="s">
        <v>351</v>
      </c>
      <c r="I33" s="201" t="s">
        <v>352</v>
      </c>
      <c r="J33" s="203">
        <v>774</v>
      </c>
      <c r="K33" s="200">
        <v>0</v>
      </c>
      <c r="L33" s="204"/>
    </row>
    <row r="34" spans="1:12" ht="15.75">
      <c r="A34" s="160">
        <v>32</v>
      </c>
      <c r="B34" s="200" t="s">
        <v>176</v>
      </c>
      <c r="C34" s="205" t="s">
        <v>248</v>
      </c>
      <c r="D34" s="156" t="s">
        <v>249</v>
      </c>
      <c r="E34" s="156" t="s">
        <v>250</v>
      </c>
      <c r="F34" s="165" t="s">
        <v>353</v>
      </c>
      <c r="G34" s="196" t="s">
        <v>354</v>
      </c>
      <c r="H34" s="196" t="s">
        <v>355</v>
      </c>
      <c r="I34" s="165" t="s">
        <v>356</v>
      </c>
      <c r="J34" s="206">
        <v>2833</v>
      </c>
      <c r="K34" s="196">
        <v>0</v>
      </c>
      <c r="L34" s="207"/>
    </row>
    <row r="35" spans="1:12" ht="25.5">
      <c r="A35" s="160">
        <v>33</v>
      </c>
      <c r="B35" s="200" t="s">
        <v>176</v>
      </c>
      <c r="C35" s="205" t="s">
        <v>248</v>
      </c>
      <c r="D35" s="156" t="s">
        <v>249</v>
      </c>
      <c r="E35" s="156" t="s">
        <v>250</v>
      </c>
      <c r="F35" s="165" t="s">
        <v>357</v>
      </c>
      <c r="G35" s="196" t="s">
        <v>358</v>
      </c>
      <c r="H35" s="166" t="s">
        <v>359</v>
      </c>
      <c r="I35" s="165" t="s">
        <v>356</v>
      </c>
      <c r="J35" s="206">
        <v>12209</v>
      </c>
      <c r="K35" s="196">
        <v>0</v>
      </c>
      <c r="L35" s="207"/>
    </row>
    <row r="36" spans="1:12" ht="45" customHeight="1">
      <c r="A36" s="160">
        <v>34</v>
      </c>
      <c r="B36" s="200" t="s">
        <v>176</v>
      </c>
      <c r="C36" s="205" t="s">
        <v>248</v>
      </c>
      <c r="D36" s="156" t="s">
        <v>249</v>
      </c>
      <c r="E36" s="156" t="s">
        <v>250</v>
      </c>
      <c r="F36" s="165" t="s">
        <v>360</v>
      </c>
      <c r="G36" s="196" t="s">
        <v>350</v>
      </c>
      <c r="H36" s="166" t="s">
        <v>361</v>
      </c>
      <c r="I36" s="165" t="s">
        <v>362</v>
      </c>
      <c r="J36" s="206">
        <v>3194</v>
      </c>
      <c r="K36" s="196">
        <v>0</v>
      </c>
      <c r="L36" s="207"/>
    </row>
    <row r="37" spans="1:12" ht="39" customHeight="1">
      <c r="A37" s="160">
        <v>35</v>
      </c>
      <c r="B37" s="208" t="s">
        <v>133</v>
      </c>
      <c r="C37" s="205" t="s">
        <v>248</v>
      </c>
      <c r="D37" s="156" t="s">
        <v>249</v>
      </c>
      <c r="E37" s="156" t="s">
        <v>250</v>
      </c>
      <c r="F37" s="156" t="s">
        <v>363</v>
      </c>
      <c r="G37" s="166" t="s">
        <v>364</v>
      </c>
      <c r="H37" s="209" t="s">
        <v>365</v>
      </c>
      <c r="I37" s="156" t="s">
        <v>301</v>
      </c>
      <c r="J37" s="210">
        <v>6233</v>
      </c>
      <c r="K37" s="210">
        <v>0</v>
      </c>
      <c r="L37" s="199"/>
    </row>
    <row r="38" spans="1:12" ht="64.5" customHeight="1">
      <c r="A38" s="160">
        <v>36</v>
      </c>
      <c r="B38" s="208" t="s">
        <v>133</v>
      </c>
      <c r="C38" s="196" t="s">
        <v>248</v>
      </c>
      <c r="D38" s="165" t="s">
        <v>249</v>
      </c>
      <c r="E38" s="165" t="s">
        <v>250</v>
      </c>
      <c r="F38" s="165" t="s">
        <v>366</v>
      </c>
      <c r="G38" s="166" t="s">
        <v>367</v>
      </c>
      <c r="H38" s="211" t="s">
        <v>368</v>
      </c>
      <c r="I38" s="165" t="s">
        <v>301</v>
      </c>
      <c r="J38" s="206">
        <v>6852</v>
      </c>
      <c r="K38" s="206">
        <v>0</v>
      </c>
      <c r="L38" s="199"/>
    </row>
    <row r="39" spans="1:12" ht="40.5" customHeight="1">
      <c r="A39" s="160">
        <v>37</v>
      </c>
      <c r="B39" s="208" t="s">
        <v>133</v>
      </c>
      <c r="C39" s="196" t="s">
        <v>248</v>
      </c>
      <c r="D39" s="165" t="s">
        <v>249</v>
      </c>
      <c r="E39" s="165" t="s">
        <v>250</v>
      </c>
      <c r="F39" s="165" t="s">
        <v>369</v>
      </c>
      <c r="G39" s="166" t="s">
        <v>370</v>
      </c>
      <c r="H39" s="211" t="s">
        <v>371</v>
      </c>
      <c r="I39" s="165" t="s">
        <v>272</v>
      </c>
      <c r="J39" s="206">
        <v>6284</v>
      </c>
      <c r="K39" s="206">
        <v>0</v>
      </c>
      <c r="L39" s="199"/>
    </row>
    <row r="40" spans="1:12" ht="40.5" customHeight="1">
      <c r="A40" s="160">
        <v>38</v>
      </c>
      <c r="B40" s="208" t="s">
        <v>133</v>
      </c>
      <c r="C40" s="196" t="s">
        <v>248</v>
      </c>
      <c r="D40" s="165" t="s">
        <v>249</v>
      </c>
      <c r="E40" s="165" t="s">
        <v>250</v>
      </c>
      <c r="F40" s="165" t="s">
        <v>372</v>
      </c>
      <c r="G40" s="166" t="s">
        <v>373</v>
      </c>
      <c r="H40" s="211" t="s">
        <v>374</v>
      </c>
      <c r="I40" s="165" t="s">
        <v>272</v>
      </c>
      <c r="J40" s="206">
        <v>1645</v>
      </c>
      <c r="K40" s="206">
        <v>0</v>
      </c>
      <c r="L40" s="199"/>
    </row>
    <row r="41" spans="1:12" ht="39" customHeight="1">
      <c r="A41" s="160">
        <v>39</v>
      </c>
      <c r="B41" s="208" t="s">
        <v>133</v>
      </c>
      <c r="C41" s="196" t="s">
        <v>248</v>
      </c>
      <c r="D41" s="165" t="s">
        <v>249</v>
      </c>
      <c r="E41" s="165" t="s">
        <v>250</v>
      </c>
      <c r="F41" s="165" t="s">
        <v>375</v>
      </c>
      <c r="G41" s="166" t="s">
        <v>376</v>
      </c>
      <c r="H41" s="211" t="s">
        <v>377</v>
      </c>
      <c r="I41" s="165" t="s">
        <v>272</v>
      </c>
      <c r="J41" s="206">
        <v>5978</v>
      </c>
      <c r="K41" s="206">
        <v>0</v>
      </c>
      <c r="L41" s="199"/>
    </row>
    <row r="42" spans="1:12" ht="15.75">
      <c r="A42" s="160">
        <v>40</v>
      </c>
      <c r="B42" s="208" t="s">
        <v>133</v>
      </c>
      <c r="C42" s="196" t="s">
        <v>248</v>
      </c>
      <c r="D42" s="165" t="s">
        <v>249</v>
      </c>
      <c r="E42" s="165" t="s">
        <v>250</v>
      </c>
      <c r="F42" s="165" t="s">
        <v>378</v>
      </c>
      <c r="G42" s="166" t="s">
        <v>379</v>
      </c>
      <c r="H42" s="212" t="s">
        <v>380</v>
      </c>
      <c r="I42" s="165" t="s">
        <v>272</v>
      </c>
      <c r="J42" s="206">
        <v>3828</v>
      </c>
      <c r="K42" s="206">
        <v>0</v>
      </c>
      <c r="L42" s="199"/>
    </row>
    <row r="43" spans="1:12" ht="79.5" customHeight="1">
      <c r="A43" s="160">
        <v>41</v>
      </c>
      <c r="B43" s="208" t="s">
        <v>133</v>
      </c>
      <c r="C43" s="196" t="s">
        <v>248</v>
      </c>
      <c r="D43" s="165" t="s">
        <v>249</v>
      </c>
      <c r="E43" s="165" t="s">
        <v>250</v>
      </c>
      <c r="F43" s="165" t="s">
        <v>381</v>
      </c>
      <c r="G43" s="166" t="s">
        <v>382</v>
      </c>
      <c r="H43" s="211" t="s">
        <v>383</v>
      </c>
      <c r="I43" s="165" t="s">
        <v>272</v>
      </c>
      <c r="J43" s="206">
        <v>6685</v>
      </c>
      <c r="K43" s="206">
        <v>0</v>
      </c>
      <c r="L43" s="199"/>
    </row>
    <row r="44" spans="1:12" ht="42" customHeight="1">
      <c r="A44" s="160">
        <v>42</v>
      </c>
      <c r="B44" s="208" t="s">
        <v>133</v>
      </c>
      <c r="C44" s="196" t="s">
        <v>248</v>
      </c>
      <c r="D44" s="165" t="s">
        <v>249</v>
      </c>
      <c r="E44" s="165" t="s">
        <v>250</v>
      </c>
      <c r="F44" s="165" t="s">
        <v>384</v>
      </c>
      <c r="G44" s="166" t="s">
        <v>385</v>
      </c>
      <c r="H44" s="211" t="s">
        <v>386</v>
      </c>
      <c r="I44" s="165" t="s">
        <v>272</v>
      </c>
      <c r="J44" s="206">
        <v>5904</v>
      </c>
      <c r="K44" s="206">
        <v>2493</v>
      </c>
      <c r="L44" s="199"/>
    </row>
    <row r="45" spans="1:12" ht="29.25" customHeight="1">
      <c r="A45" s="160">
        <v>43</v>
      </c>
      <c r="B45" s="208" t="s">
        <v>133</v>
      </c>
      <c r="C45" s="196" t="s">
        <v>248</v>
      </c>
      <c r="D45" s="165" t="s">
        <v>249</v>
      </c>
      <c r="E45" s="165" t="s">
        <v>250</v>
      </c>
      <c r="F45" s="165" t="s">
        <v>387</v>
      </c>
      <c r="G45" s="166" t="s">
        <v>388</v>
      </c>
      <c r="H45" s="211" t="s">
        <v>389</v>
      </c>
      <c r="I45" s="165" t="s">
        <v>268</v>
      </c>
      <c r="J45" s="206">
        <v>4959</v>
      </c>
      <c r="K45" s="206">
        <v>0</v>
      </c>
      <c r="L45" s="199"/>
    </row>
    <row r="46" spans="1:12" ht="27.75" customHeight="1">
      <c r="A46" s="160">
        <v>44</v>
      </c>
      <c r="B46" s="208" t="s">
        <v>133</v>
      </c>
      <c r="C46" s="196" t="s">
        <v>248</v>
      </c>
      <c r="D46" s="165" t="s">
        <v>249</v>
      </c>
      <c r="E46" s="165" t="s">
        <v>250</v>
      </c>
      <c r="F46" s="165" t="s">
        <v>390</v>
      </c>
      <c r="G46" s="166" t="s">
        <v>391</v>
      </c>
      <c r="H46" s="211" t="s">
        <v>392</v>
      </c>
      <c r="I46" s="165" t="s">
        <v>258</v>
      </c>
      <c r="J46" s="206">
        <v>5120</v>
      </c>
      <c r="K46" s="206">
        <v>0</v>
      </c>
      <c r="L46" s="199"/>
    </row>
    <row r="47" spans="1:12" ht="39" customHeight="1">
      <c r="A47" s="160">
        <v>45</v>
      </c>
      <c r="B47" s="208" t="s">
        <v>133</v>
      </c>
      <c r="C47" s="196" t="s">
        <v>248</v>
      </c>
      <c r="D47" s="165" t="s">
        <v>249</v>
      </c>
      <c r="E47" s="165" t="s">
        <v>250</v>
      </c>
      <c r="F47" s="165" t="s">
        <v>393</v>
      </c>
      <c r="G47" s="166" t="s">
        <v>394</v>
      </c>
      <c r="H47" s="211" t="s">
        <v>395</v>
      </c>
      <c r="I47" s="165" t="s">
        <v>258</v>
      </c>
      <c r="J47" s="206">
        <v>6315</v>
      </c>
      <c r="K47" s="206">
        <v>0</v>
      </c>
      <c r="L47" s="199"/>
    </row>
    <row r="48" spans="1:12" ht="42" customHeight="1">
      <c r="A48" s="160">
        <v>46</v>
      </c>
      <c r="B48" s="208" t="s">
        <v>133</v>
      </c>
      <c r="C48" s="196" t="s">
        <v>248</v>
      </c>
      <c r="D48" s="165" t="s">
        <v>249</v>
      </c>
      <c r="E48" s="165" t="s">
        <v>250</v>
      </c>
      <c r="F48" s="165" t="s">
        <v>396</v>
      </c>
      <c r="G48" s="166" t="s">
        <v>397</v>
      </c>
      <c r="H48" s="211" t="s">
        <v>398</v>
      </c>
      <c r="I48" s="165" t="s">
        <v>258</v>
      </c>
      <c r="J48" s="206">
        <v>7882</v>
      </c>
      <c r="K48" s="206">
        <v>0</v>
      </c>
      <c r="L48" s="199"/>
    </row>
    <row r="49" spans="1:12" ht="42.75" customHeight="1">
      <c r="A49" s="160">
        <v>47</v>
      </c>
      <c r="B49" s="208" t="s">
        <v>133</v>
      </c>
      <c r="C49" s="196" t="s">
        <v>248</v>
      </c>
      <c r="D49" s="165" t="s">
        <v>249</v>
      </c>
      <c r="E49" s="165" t="s">
        <v>250</v>
      </c>
      <c r="F49" s="165" t="s">
        <v>399</v>
      </c>
      <c r="G49" s="166" t="s">
        <v>400</v>
      </c>
      <c r="H49" s="211" t="s">
        <v>401</v>
      </c>
      <c r="I49" s="165" t="s">
        <v>268</v>
      </c>
      <c r="J49" s="206">
        <v>7025</v>
      </c>
      <c r="K49" s="206">
        <v>0</v>
      </c>
      <c r="L49" s="199"/>
    </row>
    <row r="50" spans="1:12" ht="69" customHeight="1">
      <c r="A50" s="160">
        <v>48</v>
      </c>
      <c r="B50" s="208" t="s">
        <v>133</v>
      </c>
      <c r="C50" s="178" t="s">
        <v>248</v>
      </c>
      <c r="D50" s="180" t="s">
        <v>249</v>
      </c>
      <c r="E50" s="180" t="s">
        <v>250</v>
      </c>
      <c r="F50" s="180" t="s">
        <v>402</v>
      </c>
      <c r="G50" s="161" t="s">
        <v>403</v>
      </c>
      <c r="H50" s="213" t="s">
        <v>404</v>
      </c>
      <c r="I50" s="180" t="s">
        <v>268</v>
      </c>
      <c r="J50" s="177">
        <v>5580</v>
      </c>
      <c r="K50" s="177">
        <v>0</v>
      </c>
      <c r="L50" s="199"/>
    </row>
    <row r="51" spans="1:12" ht="25.5">
      <c r="A51" s="160">
        <v>49</v>
      </c>
      <c r="B51" s="214" t="s">
        <v>405</v>
      </c>
      <c r="C51" s="214" t="s">
        <v>248</v>
      </c>
      <c r="D51" s="160" t="s">
        <v>249</v>
      </c>
      <c r="E51" s="160" t="s">
        <v>250</v>
      </c>
      <c r="F51" s="160" t="s">
        <v>406</v>
      </c>
      <c r="G51" s="182" t="s">
        <v>407</v>
      </c>
      <c r="H51" s="182" t="s">
        <v>408</v>
      </c>
      <c r="I51" s="160" t="s">
        <v>258</v>
      </c>
      <c r="J51" s="198">
        <v>785</v>
      </c>
      <c r="K51" s="178">
        <v>0</v>
      </c>
      <c r="L51" s="179"/>
    </row>
    <row r="52" spans="1:12" s="251" customFormat="1" ht="15.75">
      <c r="A52" s="246"/>
      <c r="B52" s="247"/>
      <c r="C52" s="248"/>
      <c r="D52" s="246"/>
      <c r="E52" s="246"/>
      <c r="F52" s="246"/>
      <c r="G52" s="248"/>
      <c r="H52" s="248"/>
      <c r="I52" s="246"/>
      <c r="J52" s="249"/>
      <c r="K52" s="248"/>
      <c r="L52" s="250"/>
    </row>
    <row r="53" spans="1:12" ht="38.25">
      <c r="A53" s="216">
        <v>50</v>
      </c>
      <c r="B53" s="217" t="s">
        <v>123</v>
      </c>
      <c r="C53" s="218" t="s">
        <v>409</v>
      </c>
      <c r="D53" s="158" t="s">
        <v>249</v>
      </c>
      <c r="E53" s="158" t="s">
        <v>250</v>
      </c>
      <c r="F53" s="219" t="s">
        <v>410</v>
      </c>
      <c r="G53" s="218" t="s">
        <v>411</v>
      </c>
      <c r="H53" s="218" t="s">
        <v>412</v>
      </c>
      <c r="I53" s="220" t="s">
        <v>258</v>
      </c>
      <c r="J53" s="221">
        <v>1262</v>
      </c>
      <c r="K53" s="221">
        <v>0</v>
      </c>
      <c r="L53" s="222"/>
    </row>
    <row r="54" spans="1:12" ht="25.5">
      <c r="A54" s="180">
        <v>51</v>
      </c>
      <c r="B54" s="217" t="s">
        <v>123</v>
      </c>
      <c r="C54" s="161" t="s">
        <v>409</v>
      </c>
      <c r="D54" s="159" t="s">
        <v>249</v>
      </c>
      <c r="E54" s="159" t="s">
        <v>250</v>
      </c>
      <c r="F54" s="223" t="s">
        <v>413</v>
      </c>
      <c r="G54" s="218" t="s">
        <v>414</v>
      </c>
      <c r="H54" s="161" t="s">
        <v>415</v>
      </c>
      <c r="I54" s="224" t="s">
        <v>258</v>
      </c>
      <c r="J54" s="221">
        <v>2449</v>
      </c>
      <c r="K54" s="221">
        <v>0</v>
      </c>
      <c r="L54" s="225"/>
    </row>
    <row r="55" spans="1:12" ht="49.5" customHeight="1">
      <c r="A55" s="180">
        <v>52</v>
      </c>
      <c r="B55" s="217" t="s">
        <v>123</v>
      </c>
      <c r="C55" s="161" t="s">
        <v>409</v>
      </c>
      <c r="D55" s="159" t="s">
        <v>249</v>
      </c>
      <c r="E55" s="159" t="s">
        <v>250</v>
      </c>
      <c r="F55" s="223" t="s">
        <v>416</v>
      </c>
      <c r="G55" s="161" t="s">
        <v>417</v>
      </c>
      <c r="H55" s="161" t="s">
        <v>418</v>
      </c>
      <c r="I55" s="224" t="s">
        <v>272</v>
      </c>
      <c r="J55" s="226">
        <v>2177</v>
      </c>
      <c r="K55" s="226">
        <v>2222</v>
      </c>
      <c r="L55" s="225"/>
    </row>
    <row r="56" spans="1:12" ht="30.75" customHeight="1">
      <c r="A56" s="180">
        <v>53</v>
      </c>
      <c r="B56" s="227" t="s">
        <v>143</v>
      </c>
      <c r="C56" s="194" t="s">
        <v>409</v>
      </c>
      <c r="D56" s="187" t="s">
        <v>249</v>
      </c>
      <c r="E56" s="187" t="s">
        <v>250</v>
      </c>
      <c r="F56" s="191" t="s">
        <v>419</v>
      </c>
      <c r="G56" s="183" t="s">
        <v>420</v>
      </c>
      <c r="H56" s="183" t="s">
        <v>421</v>
      </c>
      <c r="I56" s="192" t="s">
        <v>301</v>
      </c>
      <c r="J56" s="193">
        <v>2949</v>
      </c>
      <c r="K56" s="194"/>
      <c r="L56" s="3"/>
    </row>
    <row r="57" spans="1:12" ht="65.25" customHeight="1">
      <c r="A57" s="180">
        <v>54</v>
      </c>
      <c r="B57" s="227" t="s">
        <v>143</v>
      </c>
      <c r="C57" s="194" t="s">
        <v>409</v>
      </c>
      <c r="D57" s="187" t="s">
        <v>249</v>
      </c>
      <c r="E57" s="187" t="s">
        <v>250</v>
      </c>
      <c r="F57" s="191" t="s">
        <v>422</v>
      </c>
      <c r="G57" s="183" t="s">
        <v>423</v>
      </c>
      <c r="H57" s="183" t="s">
        <v>424</v>
      </c>
      <c r="I57" s="192" t="s">
        <v>301</v>
      </c>
      <c r="J57" s="193">
        <v>12543</v>
      </c>
      <c r="K57" s="193">
        <v>12669</v>
      </c>
      <c r="L57" s="179"/>
    </row>
    <row r="58" spans="1:12" ht="54" customHeight="1">
      <c r="A58" s="180">
        <v>55</v>
      </c>
      <c r="B58" s="227" t="s">
        <v>143</v>
      </c>
      <c r="C58" s="194" t="s">
        <v>409</v>
      </c>
      <c r="D58" s="187" t="s">
        <v>249</v>
      </c>
      <c r="E58" s="187" t="s">
        <v>250</v>
      </c>
      <c r="F58" s="184" t="s">
        <v>425</v>
      </c>
      <c r="G58" s="183" t="s">
        <v>332</v>
      </c>
      <c r="H58" s="183" t="s">
        <v>426</v>
      </c>
      <c r="I58" s="192" t="s">
        <v>301</v>
      </c>
      <c r="J58" s="193">
        <v>4410</v>
      </c>
      <c r="K58" s="194">
        <v>0</v>
      </c>
      <c r="L58" s="3"/>
    </row>
    <row r="59" spans="1:12" ht="45" customHeight="1">
      <c r="A59" s="180">
        <v>56</v>
      </c>
      <c r="B59" s="227" t="s">
        <v>143</v>
      </c>
      <c r="C59" s="194" t="s">
        <v>409</v>
      </c>
      <c r="D59" s="187" t="s">
        <v>249</v>
      </c>
      <c r="E59" s="187" t="s">
        <v>250</v>
      </c>
      <c r="F59" s="191" t="s">
        <v>427</v>
      </c>
      <c r="G59" s="183" t="s">
        <v>428</v>
      </c>
      <c r="H59" s="183" t="s">
        <v>429</v>
      </c>
      <c r="I59" s="192" t="s">
        <v>301</v>
      </c>
      <c r="J59" s="193">
        <v>3494</v>
      </c>
      <c r="K59" s="194">
        <v>0</v>
      </c>
      <c r="L59" s="3"/>
    </row>
    <row r="60" spans="1:12" ht="75" customHeight="1">
      <c r="A60" s="180">
        <v>57</v>
      </c>
      <c r="B60" s="227" t="s">
        <v>143</v>
      </c>
      <c r="C60" s="194" t="s">
        <v>409</v>
      </c>
      <c r="D60" s="187" t="s">
        <v>249</v>
      </c>
      <c r="E60" s="187" t="s">
        <v>250</v>
      </c>
      <c r="F60" s="184" t="s">
        <v>430</v>
      </c>
      <c r="G60" s="183" t="s">
        <v>431</v>
      </c>
      <c r="H60" s="183" t="s">
        <v>432</v>
      </c>
      <c r="I60" s="192" t="s">
        <v>294</v>
      </c>
      <c r="J60" s="193">
        <v>1947</v>
      </c>
      <c r="K60" s="194">
        <v>0</v>
      </c>
      <c r="L60" s="179"/>
    </row>
    <row r="61" spans="1:12" ht="25.5">
      <c r="A61" s="180">
        <v>58</v>
      </c>
      <c r="B61" s="227" t="s">
        <v>143</v>
      </c>
      <c r="C61" s="194" t="s">
        <v>409</v>
      </c>
      <c r="D61" s="187" t="s">
        <v>249</v>
      </c>
      <c r="E61" s="187" t="s">
        <v>250</v>
      </c>
      <c r="F61" s="184" t="s">
        <v>433</v>
      </c>
      <c r="G61" s="183" t="s">
        <v>434</v>
      </c>
      <c r="H61" s="183" t="s">
        <v>435</v>
      </c>
      <c r="I61" s="192" t="s">
        <v>294</v>
      </c>
      <c r="J61" s="193">
        <v>6148</v>
      </c>
      <c r="K61" s="193">
        <v>1120</v>
      </c>
      <c r="L61" s="228"/>
    </row>
    <row r="62" spans="1:12" ht="25.5">
      <c r="A62" s="180">
        <v>59</v>
      </c>
      <c r="B62" s="227" t="s">
        <v>143</v>
      </c>
      <c r="C62" s="194" t="s">
        <v>409</v>
      </c>
      <c r="D62" s="187" t="s">
        <v>249</v>
      </c>
      <c r="E62" s="252" t="s">
        <v>250</v>
      </c>
      <c r="F62" s="184" t="s">
        <v>436</v>
      </c>
      <c r="G62" s="183" t="s">
        <v>437</v>
      </c>
      <c r="H62" s="183" t="s">
        <v>438</v>
      </c>
      <c r="I62" s="192" t="s">
        <v>294</v>
      </c>
      <c r="J62" s="193">
        <v>8842</v>
      </c>
      <c r="K62" s="229">
        <v>0</v>
      </c>
      <c r="L62" s="228"/>
    </row>
    <row r="63" spans="1:12" ht="25.5">
      <c r="A63" s="180">
        <v>60</v>
      </c>
      <c r="B63" s="227" t="s">
        <v>143</v>
      </c>
      <c r="C63" s="194" t="s">
        <v>409</v>
      </c>
      <c r="D63" s="187" t="s">
        <v>249</v>
      </c>
      <c r="E63" s="187" t="s">
        <v>250</v>
      </c>
      <c r="F63" s="184" t="s">
        <v>439</v>
      </c>
      <c r="G63" s="183" t="s">
        <v>440</v>
      </c>
      <c r="H63" s="183" t="s">
        <v>441</v>
      </c>
      <c r="I63" s="192" t="s">
        <v>294</v>
      </c>
      <c r="J63" s="193">
        <v>3496</v>
      </c>
      <c r="K63" s="229">
        <v>0</v>
      </c>
      <c r="L63" s="228"/>
    </row>
    <row r="64" spans="1:12" ht="60" customHeight="1">
      <c r="A64" s="180">
        <v>61</v>
      </c>
      <c r="B64" s="227" t="s">
        <v>143</v>
      </c>
      <c r="C64" s="194" t="s">
        <v>409</v>
      </c>
      <c r="D64" s="187" t="s">
        <v>249</v>
      </c>
      <c r="E64" s="187" t="s">
        <v>250</v>
      </c>
      <c r="F64" s="184" t="s">
        <v>442</v>
      </c>
      <c r="G64" s="183" t="s">
        <v>443</v>
      </c>
      <c r="H64" s="183" t="s">
        <v>444</v>
      </c>
      <c r="I64" s="192" t="s">
        <v>258</v>
      </c>
      <c r="J64" s="193">
        <v>4321</v>
      </c>
      <c r="K64" s="229">
        <v>0</v>
      </c>
      <c r="L64" s="228"/>
    </row>
    <row r="65" spans="1:12" ht="54" customHeight="1">
      <c r="A65" s="180">
        <v>62</v>
      </c>
      <c r="B65" s="227" t="s">
        <v>143</v>
      </c>
      <c r="C65" s="194" t="s">
        <v>409</v>
      </c>
      <c r="D65" s="187" t="s">
        <v>249</v>
      </c>
      <c r="E65" s="187" t="s">
        <v>250</v>
      </c>
      <c r="F65" s="184" t="s">
        <v>445</v>
      </c>
      <c r="G65" s="183" t="s">
        <v>446</v>
      </c>
      <c r="H65" s="183" t="s">
        <v>447</v>
      </c>
      <c r="I65" s="192" t="s">
        <v>258</v>
      </c>
      <c r="J65" s="193">
        <v>664</v>
      </c>
      <c r="K65" s="229">
        <v>0</v>
      </c>
      <c r="L65" s="228"/>
    </row>
    <row r="66" spans="1:12" ht="39.75" customHeight="1">
      <c r="A66" s="180">
        <v>63</v>
      </c>
      <c r="B66" s="227" t="s">
        <v>143</v>
      </c>
      <c r="C66" s="194" t="s">
        <v>409</v>
      </c>
      <c r="D66" s="187" t="s">
        <v>249</v>
      </c>
      <c r="E66" s="187" t="s">
        <v>250</v>
      </c>
      <c r="F66" s="184" t="s">
        <v>448</v>
      </c>
      <c r="G66" s="183" t="s">
        <v>449</v>
      </c>
      <c r="H66" s="183" t="s">
        <v>450</v>
      </c>
      <c r="I66" s="192" t="s">
        <v>258</v>
      </c>
      <c r="J66" s="193">
        <v>7730</v>
      </c>
      <c r="K66" s="194">
        <v>0</v>
      </c>
      <c r="L66" s="228"/>
    </row>
    <row r="67" spans="1:12" ht="55.5" customHeight="1">
      <c r="A67" s="180">
        <v>64</v>
      </c>
      <c r="B67" s="227" t="s">
        <v>143</v>
      </c>
      <c r="C67" s="194" t="s">
        <v>409</v>
      </c>
      <c r="D67" s="187" t="s">
        <v>249</v>
      </c>
      <c r="E67" s="187" t="s">
        <v>250</v>
      </c>
      <c r="F67" s="184" t="s">
        <v>451</v>
      </c>
      <c r="G67" s="183" t="s">
        <v>452</v>
      </c>
      <c r="H67" s="183" t="s">
        <v>453</v>
      </c>
      <c r="I67" s="192" t="s">
        <v>258</v>
      </c>
      <c r="J67" s="193">
        <v>2521</v>
      </c>
      <c r="K67" s="194">
        <v>0</v>
      </c>
      <c r="L67" s="228"/>
    </row>
    <row r="68" spans="1:12" ht="30.75" customHeight="1">
      <c r="A68" s="180">
        <v>65</v>
      </c>
      <c r="B68" s="230" t="s">
        <v>344</v>
      </c>
      <c r="C68" s="178" t="s">
        <v>409</v>
      </c>
      <c r="D68" s="180" t="s">
        <v>454</v>
      </c>
      <c r="E68" s="180" t="s">
        <v>455</v>
      </c>
      <c r="F68" s="180" t="s">
        <v>456</v>
      </c>
      <c r="G68" s="161" t="s">
        <v>457</v>
      </c>
      <c r="H68" s="161" t="s">
        <v>458</v>
      </c>
      <c r="I68" s="224" t="s">
        <v>459</v>
      </c>
      <c r="J68" s="177">
        <v>353</v>
      </c>
      <c r="K68" s="178">
        <v>0</v>
      </c>
      <c r="L68" s="231" t="s">
        <v>460</v>
      </c>
    </row>
    <row r="69" spans="1:12" ht="57.75" customHeight="1">
      <c r="A69" s="216">
        <v>66</v>
      </c>
      <c r="B69" s="230" t="s">
        <v>133</v>
      </c>
      <c r="C69" s="178" t="s">
        <v>409</v>
      </c>
      <c r="D69" s="180" t="s">
        <v>249</v>
      </c>
      <c r="E69" s="180" t="s">
        <v>250</v>
      </c>
      <c r="F69" s="180" t="s">
        <v>461</v>
      </c>
      <c r="G69" s="166" t="s">
        <v>376</v>
      </c>
      <c r="H69" s="213" t="s">
        <v>462</v>
      </c>
      <c r="I69" s="180" t="s">
        <v>301</v>
      </c>
      <c r="J69" s="177">
        <v>12606</v>
      </c>
      <c r="K69" s="178">
        <v>0</v>
      </c>
      <c r="L69" s="199"/>
    </row>
    <row r="70" spans="1:12" ht="76.5" customHeight="1">
      <c r="A70" s="180">
        <v>67</v>
      </c>
      <c r="B70" s="230" t="s">
        <v>133</v>
      </c>
      <c r="C70" s="178" t="s">
        <v>409</v>
      </c>
      <c r="D70" s="180" t="s">
        <v>249</v>
      </c>
      <c r="E70" s="180" t="s">
        <v>250</v>
      </c>
      <c r="F70" s="180" t="s">
        <v>463</v>
      </c>
      <c r="G70" s="161" t="s">
        <v>464</v>
      </c>
      <c r="H70" s="213" t="s">
        <v>465</v>
      </c>
      <c r="I70" s="180" t="s">
        <v>272</v>
      </c>
      <c r="J70" s="177">
        <v>1178</v>
      </c>
      <c r="K70" s="178">
        <v>0</v>
      </c>
      <c r="L70" s="199"/>
    </row>
    <row r="71" spans="1:12" ht="45.75" customHeight="1">
      <c r="A71" s="180">
        <v>68</v>
      </c>
      <c r="B71" s="230" t="s">
        <v>143</v>
      </c>
      <c r="C71" s="232" t="s">
        <v>466</v>
      </c>
      <c r="D71" s="233" t="s">
        <v>249</v>
      </c>
      <c r="E71" s="233" t="s">
        <v>250</v>
      </c>
      <c r="F71" s="184" t="s">
        <v>467</v>
      </c>
      <c r="G71" s="183" t="s">
        <v>468</v>
      </c>
      <c r="H71" s="183" t="s">
        <v>469</v>
      </c>
      <c r="I71" s="192" t="s">
        <v>272</v>
      </c>
      <c r="J71" s="234">
        <v>2325</v>
      </c>
      <c r="K71" s="194"/>
      <c r="L71" s="228"/>
    </row>
    <row r="72" spans="1:12" ht="31.5" customHeight="1">
      <c r="A72" s="180">
        <v>69</v>
      </c>
      <c r="B72" s="230" t="s">
        <v>143</v>
      </c>
      <c r="C72" s="194" t="s">
        <v>466</v>
      </c>
      <c r="D72" s="187" t="s">
        <v>249</v>
      </c>
      <c r="E72" s="187" t="s">
        <v>250</v>
      </c>
      <c r="F72" s="184" t="s">
        <v>470</v>
      </c>
      <c r="G72" s="183" t="s">
        <v>332</v>
      </c>
      <c r="H72" s="183" t="s">
        <v>471</v>
      </c>
      <c r="I72" s="192" t="s">
        <v>268</v>
      </c>
      <c r="J72" s="193">
        <v>17827</v>
      </c>
      <c r="K72" s="194"/>
      <c r="L72" s="228"/>
    </row>
    <row r="73" spans="1:12" ht="30" customHeight="1">
      <c r="A73" s="180">
        <v>70</v>
      </c>
      <c r="B73" s="230" t="s">
        <v>133</v>
      </c>
      <c r="C73" s="178" t="s">
        <v>466</v>
      </c>
      <c r="D73" s="180" t="s">
        <v>249</v>
      </c>
      <c r="E73" s="180" t="s">
        <v>250</v>
      </c>
      <c r="F73" s="180" t="s">
        <v>472</v>
      </c>
      <c r="G73" s="166" t="s">
        <v>376</v>
      </c>
      <c r="H73" s="213" t="s">
        <v>473</v>
      </c>
      <c r="I73" s="180" t="s">
        <v>309</v>
      </c>
      <c r="J73" s="177">
        <v>39470</v>
      </c>
      <c r="K73" s="178">
        <v>0</v>
      </c>
      <c r="L73" s="199"/>
    </row>
    <row r="74" spans="1:12" ht="29.25" customHeight="1">
      <c r="A74" s="180">
        <v>71</v>
      </c>
      <c r="B74" s="235" t="s">
        <v>123</v>
      </c>
      <c r="C74" s="161" t="s">
        <v>474</v>
      </c>
      <c r="D74" s="224" t="s">
        <v>249</v>
      </c>
      <c r="E74" s="224" t="s">
        <v>250</v>
      </c>
      <c r="F74" s="224" t="s">
        <v>475</v>
      </c>
      <c r="G74" s="161" t="s">
        <v>476</v>
      </c>
      <c r="H74" s="161" t="s">
        <v>477</v>
      </c>
      <c r="I74" s="224" t="s">
        <v>478</v>
      </c>
      <c r="J74" s="236">
        <v>600</v>
      </c>
      <c r="K74" s="161">
        <v>0</v>
      </c>
      <c r="L74" s="225"/>
    </row>
    <row r="75" spans="1:12" ht="33" customHeight="1">
      <c r="A75" s="180">
        <v>72</v>
      </c>
      <c r="B75" s="235" t="s">
        <v>123</v>
      </c>
      <c r="C75" s="161" t="s">
        <v>474</v>
      </c>
      <c r="D75" s="224" t="s">
        <v>249</v>
      </c>
      <c r="E75" s="224" t="s">
        <v>250</v>
      </c>
      <c r="F75" s="224" t="s">
        <v>479</v>
      </c>
      <c r="G75" s="161" t="s">
        <v>263</v>
      </c>
      <c r="H75" s="161" t="s">
        <v>480</v>
      </c>
      <c r="I75" s="224" t="s">
        <v>478</v>
      </c>
      <c r="J75" s="236">
        <v>200</v>
      </c>
      <c r="K75" s="161">
        <v>0</v>
      </c>
      <c r="L75" s="225"/>
    </row>
    <row r="76" spans="1:12" ht="27.75" customHeight="1">
      <c r="A76" s="180">
        <v>73</v>
      </c>
      <c r="B76" s="235" t="s">
        <v>123</v>
      </c>
      <c r="C76" s="161" t="s">
        <v>474</v>
      </c>
      <c r="D76" s="224" t="s">
        <v>249</v>
      </c>
      <c r="E76" s="224" t="s">
        <v>250</v>
      </c>
      <c r="F76" s="224" t="s">
        <v>481</v>
      </c>
      <c r="G76" s="161" t="s">
        <v>482</v>
      </c>
      <c r="H76" s="161" t="s">
        <v>483</v>
      </c>
      <c r="I76" s="224" t="s">
        <v>478</v>
      </c>
      <c r="J76" s="236">
        <v>200</v>
      </c>
      <c r="K76" s="161">
        <v>0</v>
      </c>
      <c r="L76" s="225"/>
    </row>
    <row r="77" spans="1:12" ht="39.75" customHeight="1">
      <c r="A77" s="180">
        <v>74</v>
      </c>
      <c r="B77" s="235" t="s">
        <v>123</v>
      </c>
      <c r="C77" s="161" t="s">
        <v>484</v>
      </c>
      <c r="D77" s="224" t="s">
        <v>249</v>
      </c>
      <c r="E77" s="224" t="s">
        <v>250</v>
      </c>
      <c r="F77" s="224" t="s">
        <v>485</v>
      </c>
      <c r="G77" s="161" t="s">
        <v>486</v>
      </c>
      <c r="H77" s="161" t="s">
        <v>487</v>
      </c>
      <c r="I77" s="224" t="s">
        <v>488</v>
      </c>
      <c r="J77" s="236">
        <v>1900</v>
      </c>
      <c r="K77" s="161">
        <v>0</v>
      </c>
      <c r="L77" s="231"/>
    </row>
    <row r="78" spans="1:12" ht="44.25" customHeight="1">
      <c r="A78" s="180">
        <v>75</v>
      </c>
      <c r="B78" s="227" t="s">
        <v>143</v>
      </c>
      <c r="C78" s="183" t="s">
        <v>474</v>
      </c>
      <c r="D78" s="187" t="s">
        <v>249</v>
      </c>
      <c r="E78" s="187" t="s">
        <v>250</v>
      </c>
      <c r="F78" s="237" t="s">
        <v>489</v>
      </c>
      <c r="G78" s="183" t="s">
        <v>490</v>
      </c>
      <c r="H78" s="183" t="s">
        <v>491</v>
      </c>
      <c r="I78" s="192">
        <v>2011</v>
      </c>
      <c r="J78" s="193">
        <v>150</v>
      </c>
      <c r="K78" s="194">
        <v>0</v>
      </c>
      <c r="L78" s="228"/>
    </row>
    <row r="79" spans="1:12" ht="42.75" customHeight="1">
      <c r="A79" s="180">
        <v>76</v>
      </c>
      <c r="B79" s="227" t="s">
        <v>143</v>
      </c>
      <c r="C79" s="183" t="s">
        <v>474</v>
      </c>
      <c r="D79" s="187" t="s">
        <v>249</v>
      </c>
      <c r="E79" s="187" t="s">
        <v>250</v>
      </c>
      <c r="F79" s="184" t="s">
        <v>492</v>
      </c>
      <c r="G79" s="183" t="s">
        <v>338</v>
      </c>
      <c r="H79" s="183" t="s">
        <v>493</v>
      </c>
      <c r="I79" s="192">
        <v>2011</v>
      </c>
      <c r="J79" s="193">
        <v>200</v>
      </c>
      <c r="K79" s="194">
        <v>0</v>
      </c>
      <c r="L79" s="228"/>
    </row>
    <row r="80" spans="1:12" ht="58.5" customHeight="1">
      <c r="A80" s="180">
        <v>77</v>
      </c>
      <c r="B80" s="227" t="s">
        <v>143</v>
      </c>
      <c r="C80" s="183" t="s">
        <v>474</v>
      </c>
      <c r="D80" s="187" t="s">
        <v>249</v>
      </c>
      <c r="E80" s="187" t="s">
        <v>250</v>
      </c>
      <c r="F80" s="184" t="s">
        <v>494</v>
      </c>
      <c r="G80" s="183" t="s">
        <v>495</v>
      </c>
      <c r="H80" s="183" t="s">
        <v>496</v>
      </c>
      <c r="I80" s="192">
        <v>2011</v>
      </c>
      <c r="J80" s="193">
        <v>360</v>
      </c>
      <c r="K80" s="194">
        <v>0</v>
      </c>
      <c r="L80" s="228"/>
    </row>
    <row r="81" spans="1:12" ht="33.75" customHeight="1">
      <c r="A81" s="180">
        <v>78</v>
      </c>
      <c r="B81" s="227" t="s">
        <v>143</v>
      </c>
      <c r="C81" s="183" t="s">
        <v>474</v>
      </c>
      <c r="D81" s="187" t="s">
        <v>249</v>
      </c>
      <c r="E81" s="187" t="s">
        <v>250</v>
      </c>
      <c r="F81" s="184" t="s">
        <v>497</v>
      </c>
      <c r="G81" s="183" t="s">
        <v>498</v>
      </c>
      <c r="H81" s="183" t="s">
        <v>499</v>
      </c>
      <c r="I81" s="192">
        <v>2011</v>
      </c>
      <c r="J81" s="193">
        <v>500</v>
      </c>
      <c r="K81" s="194">
        <v>0</v>
      </c>
      <c r="L81" s="179"/>
    </row>
    <row r="82" spans="1:12" ht="34.5" customHeight="1">
      <c r="A82" s="216">
        <v>79</v>
      </c>
      <c r="B82" s="227" t="s">
        <v>143</v>
      </c>
      <c r="C82" s="183" t="s">
        <v>474</v>
      </c>
      <c r="D82" s="187" t="s">
        <v>249</v>
      </c>
      <c r="E82" s="187" t="s">
        <v>250</v>
      </c>
      <c r="F82" s="184" t="s">
        <v>500</v>
      </c>
      <c r="G82" s="183" t="s">
        <v>501</v>
      </c>
      <c r="H82" s="183" t="s">
        <v>502</v>
      </c>
      <c r="I82" s="192">
        <v>2011</v>
      </c>
      <c r="J82" s="193">
        <v>200</v>
      </c>
      <c r="K82" s="194">
        <v>0</v>
      </c>
      <c r="L82" s="179"/>
    </row>
    <row r="83" spans="1:12" ht="60.75" customHeight="1">
      <c r="A83" s="180">
        <v>80</v>
      </c>
      <c r="B83" s="227" t="s">
        <v>143</v>
      </c>
      <c r="C83" s="183" t="s">
        <v>474</v>
      </c>
      <c r="D83" s="187" t="s">
        <v>249</v>
      </c>
      <c r="E83" s="187" t="s">
        <v>250</v>
      </c>
      <c r="F83" s="184" t="s">
        <v>503</v>
      </c>
      <c r="G83" s="183" t="s">
        <v>504</v>
      </c>
      <c r="H83" s="183" t="s">
        <v>505</v>
      </c>
      <c r="I83" s="192">
        <v>2011</v>
      </c>
      <c r="J83" s="234">
        <v>150</v>
      </c>
      <c r="K83" s="194">
        <v>0</v>
      </c>
      <c r="L83" s="179"/>
    </row>
    <row r="84" spans="1:12" ht="44.25" customHeight="1">
      <c r="A84" s="180">
        <v>81</v>
      </c>
      <c r="B84" s="235" t="s">
        <v>344</v>
      </c>
      <c r="C84" s="194" t="s">
        <v>474</v>
      </c>
      <c r="D84" s="187" t="s">
        <v>249</v>
      </c>
      <c r="E84" s="191" t="s">
        <v>250</v>
      </c>
      <c r="F84" s="191" t="s">
        <v>506</v>
      </c>
      <c r="G84" s="183" t="s">
        <v>507</v>
      </c>
      <c r="H84" s="183" t="s">
        <v>508</v>
      </c>
      <c r="I84" s="238" t="s">
        <v>509</v>
      </c>
      <c r="J84" s="193">
        <v>200</v>
      </c>
      <c r="K84" s="193">
        <v>0</v>
      </c>
      <c r="L84" s="179"/>
    </row>
    <row r="85" spans="1:12" ht="53.25" customHeight="1">
      <c r="A85" s="180">
        <v>82</v>
      </c>
      <c r="B85" s="235" t="s">
        <v>344</v>
      </c>
      <c r="C85" s="194" t="s">
        <v>474</v>
      </c>
      <c r="D85" s="187" t="s">
        <v>249</v>
      </c>
      <c r="E85" s="191" t="s">
        <v>250</v>
      </c>
      <c r="F85" s="191" t="s">
        <v>510</v>
      </c>
      <c r="G85" s="183" t="s">
        <v>511</v>
      </c>
      <c r="H85" s="183" t="s">
        <v>512</v>
      </c>
      <c r="I85" s="238" t="s">
        <v>513</v>
      </c>
      <c r="J85" s="193">
        <v>250</v>
      </c>
      <c r="K85" s="193">
        <v>0</v>
      </c>
      <c r="L85" s="179"/>
    </row>
    <row r="86" spans="1:12" ht="39.75" customHeight="1">
      <c r="A86" s="180">
        <v>83</v>
      </c>
      <c r="B86" s="227" t="s">
        <v>344</v>
      </c>
      <c r="C86" s="194" t="s">
        <v>514</v>
      </c>
      <c r="D86" s="187" t="s">
        <v>249</v>
      </c>
      <c r="E86" s="191" t="s">
        <v>250</v>
      </c>
      <c r="F86" s="191" t="s">
        <v>515</v>
      </c>
      <c r="G86" s="183" t="s">
        <v>511</v>
      </c>
      <c r="H86" s="183" t="s">
        <v>516</v>
      </c>
      <c r="I86" s="239" t="s">
        <v>517</v>
      </c>
      <c r="J86" s="193">
        <v>570</v>
      </c>
      <c r="K86" s="193">
        <v>0</v>
      </c>
      <c r="L86" s="179"/>
    </row>
    <row r="87" spans="1:12" ht="15.75">
      <c r="A87" s="524" t="s">
        <v>518</v>
      </c>
      <c r="B87" s="525"/>
      <c r="C87" s="525"/>
      <c r="D87" s="525"/>
      <c r="E87" s="525"/>
      <c r="F87" s="525"/>
      <c r="G87" s="525"/>
      <c r="H87" s="525"/>
      <c r="I87" s="525"/>
      <c r="J87" s="525"/>
      <c r="K87" s="526"/>
      <c r="L87" s="215"/>
    </row>
    <row r="88" spans="1:12" ht="49.5" customHeight="1">
      <c r="A88" s="180">
        <v>1</v>
      </c>
      <c r="B88" s="227" t="s">
        <v>143</v>
      </c>
      <c r="C88" s="240" t="s">
        <v>519</v>
      </c>
      <c r="D88" s="233" t="s">
        <v>249</v>
      </c>
      <c r="E88" s="233" t="s">
        <v>520</v>
      </c>
      <c r="F88" s="184">
        <v>266647</v>
      </c>
      <c r="G88" s="183" t="s">
        <v>521</v>
      </c>
      <c r="H88" s="183" t="s">
        <v>522</v>
      </c>
      <c r="I88" s="192" t="s">
        <v>268</v>
      </c>
      <c r="J88" s="232">
        <v>99296.25</v>
      </c>
      <c r="K88" s="194"/>
      <c r="L88" s="241"/>
    </row>
    <row r="89" spans="1:12" ht="44.25" customHeight="1">
      <c r="A89" s="180">
        <v>2</v>
      </c>
      <c r="B89" s="227" t="s">
        <v>143</v>
      </c>
      <c r="C89" s="232" t="s">
        <v>523</v>
      </c>
      <c r="D89" s="233" t="s">
        <v>249</v>
      </c>
      <c r="E89" s="233" t="s">
        <v>520</v>
      </c>
      <c r="F89" s="184" t="s">
        <v>524</v>
      </c>
      <c r="G89" s="183" t="s">
        <v>525</v>
      </c>
      <c r="H89" s="183" t="s">
        <v>526</v>
      </c>
      <c r="I89" s="192" t="s">
        <v>272</v>
      </c>
      <c r="J89" s="232">
        <v>2886</v>
      </c>
      <c r="K89" s="194"/>
      <c r="L89" s="129"/>
    </row>
    <row r="90" spans="1:12" ht="60" customHeight="1">
      <c r="A90" s="180">
        <v>3</v>
      </c>
      <c r="B90" s="227" t="s">
        <v>143</v>
      </c>
      <c r="C90" s="183" t="s">
        <v>527</v>
      </c>
      <c r="D90" s="191" t="s">
        <v>249</v>
      </c>
      <c r="E90" s="191" t="s">
        <v>520</v>
      </c>
      <c r="F90" s="184" t="s">
        <v>528</v>
      </c>
      <c r="G90" s="183" t="s">
        <v>529</v>
      </c>
      <c r="H90" s="183" t="s">
        <v>530</v>
      </c>
      <c r="I90" s="191" t="s">
        <v>531</v>
      </c>
      <c r="J90" s="242">
        <v>50675.24</v>
      </c>
      <c r="K90" s="194"/>
      <c r="L90" s="129"/>
    </row>
    <row r="91" spans="1:12" ht="38.25" customHeight="1">
      <c r="A91" s="180">
        <v>4</v>
      </c>
      <c r="B91" s="235" t="s">
        <v>344</v>
      </c>
      <c r="C91" s="183" t="s">
        <v>532</v>
      </c>
      <c r="D91" s="187" t="s">
        <v>249</v>
      </c>
      <c r="E91" s="191" t="s">
        <v>520</v>
      </c>
      <c r="F91" s="184" t="s">
        <v>533</v>
      </c>
      <c r="G91" s="183" t="s">
        <v>534</v>
      </c>
      <c r="H91" s="183" t="s">
        <v>535</v>
      </c>
      <c r="I91" s="184" t="s">
        <v>536</v>
      </c>
      <c r="J91" s="243">
        <v>6712.49</v>
      </c>
      <c r="K91" s="243"/>
      <c r="L91" s="179"/>
    </row>
    <row r="92" spans="1:12" ht="63" customHeight="1">
      <c r="A92" s="180">
        <v>5</v>
      </c>
      <c r="B92" s="235" t="s">
        <v>344</v>
      </c>
      <c r="C92" s="183" t="s">
        <v>532</v>
      </c>
      <c r="D92" s="187" t="s">
        <v>249</v>
      </c>
      <c r="E92" s="191" t="s">
        <v>520</v>
      </c>
      <c r="F92" s="184">
        <v>2007321</v>
      </c>
      <c r="G92" s="183" t="s">
        <v>537</v>
      </c>
      <c r="H92" s="183" t="s">
        <v>538</v>
      </c>
      <c r="I92" s="244" t="s">
        <v>539</v>
      </c>
      <c r="J92" s="245">
        <v>7030.3</v>
      </c>
      <c r="K92" s="245"/>
      <c r="L92" s="179"/>
    </row>
    <row r="93" spans="1:12" ht="15.75">
      <c r="A93" s="180">
        <v>6</v>
      </c>
      <c r="B93" s="235" t="s">
        <v>344</v>
      </c>
      <c r="C93" s="194" t="s">
        <v>540</v>
      </c>
      <c r="D93" s="187" t="s">
        <v>249</v>
      </c>
      <c r="E93" s="191" t="s">
        <v>520</v>
      </c>
      <c r="F93" s="191"/>
      <c r="G93" s="194" t="s">
        <v>541</v>
      </c>
      <c r="H93" s="183" t="s">
        <v>542</v>
      </c>
      <c r="I93" s="191" t="s">
        <v>301</v>
      </c>
      <c r="J93" s="193">
        <v>1000</v>
      </c>
      <c r="K93" s="245"/>
      <c r="L93" s="179"/>
    </row>
  </sheetData>
  <mergeCells count="2">
    <mergeCell ref="A1:L1"/>
    <mergeCell ref="A87:K8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J4" sqref="J4"/>
    </sheetView>
  </sheetViews>
  <sheetFormatPr defaultColWidth="9.00390625" defaultRowHeight="15.75"/>
  <cols>
    <col min="1" max="1" width="4.125" style="0" customWidth="1"/>
    <col min="2" max="2" width="4.625" style="0" customWidth="1"/>
    <col min="3" max="3" width="12.00390625" style="0" customWidth="1"/>
    <col min="4" max="4" width="4.625" style="0" customWidth="1"/>
    <col min="5" max="5" width="6.125" style="0" customWidth="1"/>
    <col min="6" max="6" width="6.375" style="0" customWidth="1"/>
    <col min="7" max="7" width="18.50390625" style="0" customWidth="1"/>
    <col min="8" max="8" width="35.50390625" style="0" customWidth="1"/>
    <col min="9" max="9" width="5.875" style="0" customWidth="1"/>
    <col min="10" max="10" width="13.125" style="0" customWidth="1"/>
    <col min="11" max="11" width="5.00390625" style="0" customWidth="1"/>
    <col min="12" max="12" width="11.375" style="0" customWidth="1"/>
  </cols>
  <sheetData>
    <row r="1" spans="1:13" ht="21" thickBot="1">
      <c r="A1" s="527" t="s">
        <v>814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</row>
    <row r="2" spans="1:13" ht="121.5" customHeight="1" thickBot="1">
      <c r="A2" s="427" t="s">
        <v>237</v>
      </c>
      <c r="B2" s="428" t="s">
        <v>36</v>
      </c>
      <c r="C2" s="428" t="s">
        <v>238</v>
      </c>
      <c r="D2" s="428" t="s">
        <v>239</v>
      </c>
      <c r="E2" s="428" t="s">
        <v>240</v>
      </c>
      <c r="F2" s="428" t="s">
        <v>241</v>
      </c>
      <c r="G2" s="428" t="s">
        <v>242</v>
      </c>
      <c r="H2" s="428" t="s">
        <v>243</v>
      </c>
      <c r="I2" s="428" t="s">
        <v>244</v>
      </c>
      <c r="J2" s="428" t="s">
        <v>245</v>
      </c>
      <c r="K2" s="428" t="s">
        <v>246</v>
      </c>
      <c r="L2" s="429" t="s">
        <v>247</v>
      </c>
      <c r="M2" s="430"/>
    </row>
    <row r="3" spans="1:13" ht="36" customHeight="1">
      <c r="A3" s="435" t="s">
        <v>609</v>
      </c>
      <c r="B3" s="438" t="s">
        <v>688</v>
      </c>
      <c r="C3" s="440" t="s">
        <v>474</v>
      </c>
      <c r="D3" s="435"/>
      <c r="E3" s="435" t="s">
        <v>815</v>
      </c>
      <c r="F3" s="435" t="s">
        <v>190</v>
      </c>
      <c r="G3" s="436" t="s">
        <v>816</v>
      </c>
      <c r="H3" s="436" t="s">
        <v>842</v>
      </c>
      <c r="I3" s="435"/>
      <c r="J3" s="437">
        <v>150</v>
      </c>
      <c r="K3" s="433"/>
      <c r="L3" s="431"/>
      <c r="M3" s="432"/>
    </row>
    <row r="4" spans="1:13" ht="34.5" customHeight="1">
      <c r="A4" s="438" t="s">
        <v>130</v>
      </c>
      <c r="B4" s="438" t="s">
        <v>688</v>
      </c>
      <c r="C4" s="440" t="s">
        <v>474</v>
      </c>
      <c r="D4" s="438"/>
      <c r="E4" s="435" t="s">
        <v>815</v>
      </c>
      <c r="F4" s="435" t="s">
        <v>190</v>
      </c>
      <c r="G4" s="436" t="s">
        <v>817</v>
      </c>
      <c r="H4" s="436" t="s">
        <v>493</v>
      </c>
      <c r="I4" s="438"/>
      <c r="J4" s="439">
        <v>200</v>
      </c>
      <c r="K4" s="434"/>
      <c r="L4" s="431"/>
      <c r="M4" s="432"/>
    </row>
    <row r="5" spans="1:13" ht="63" customHeight="1">
      <c r="A5" s="438" t="s">
        <v>131</v>
      </c>
      <c r="B5" s="438" t="s">
        <v>688</v>
      </c>
      <c r="C5" s="440" t="s">
        <v>474</v>
      </c>
      <c r="D5" s="438"/>
      <c r="E5" s="435" t="s">
        <v>815</v>
      </c>
      <c r="F5" s="435" t="s">
        <v>190</v>
      </c>
      <c r="G5" s="436" t="s">
        <v>818</v>
      </c>
      <c r="H5" s="436" t="s">
        <v>491</v>
      </c>
      <c r="I5" s="438"/>
      <c r="J5" s="439">
        <v>150</v>
      </c>
      <c r="K5" s="434"/>
      <c r="L5" s="431"/>
      <c r="M5" s="432"/>
    </row>
    <row r="6" spans="1:13" ht="45.75" customHeight="1">
      <c r="A6" s="438" t="s">
        <v>819</v>
      </c>
      <c r="B6" s="438" t="s">
        <v>688</v>
      </c>
      <c r="C6" s="440" t="s">
        <v>474</v>
      </c>
      <c r="D6" s="438"/>
      <c r="E6" s="435" t="s">
        <v>815</v>
      </c>
      <c r="F6" s="435" t="s">
        <v>190</v>
      </c>
      <c r="G6" s="436" t="s">
        <v>820</v>
      </c>
      <c r="H6" s="436" t="s">
        <v>821</v>
      </c>
      <c r="I6" s="438"/>
      <c r="J6" s="439">
        <v>360</v>
      </c>
      <c r="K6" s="434"/>
      <c r="L6" s="431"/>
      <c r="M6" s="432"/>
    </row>
    <row r="7" spans="1:13" ht="30">
      <c r="A7" s="438" t="s">
        <v>822</v>
      </c>
      <c r="B7" s="438" t="s">
        <v>688</v>
      </c>
      <c r="C7" s="440" t="s">
        <v>474</v>
      </c>
      <c r="D7" s="438"/>
      <c r="E7" s="435" t="s">
        <v>815</v>
      </c>
      <c r="F7" s="435" t="s">
        <v>190</v>
      </c>
      <c r="G7" s="436" t="s">
        <v>823</v>
      </c>
      <c r="H7" s="436" t="s">
        <v>824</v>
      </c>
      <c r="I7" s="438"/>
      <c r="J7" s="439">
        <v>500</v>
      </c>
      <c r="K7" s="434"/>
      <c r="L7" s="431"/>
      <c r="M7" s="432"/>
    </row>
    <row r="8" spans="1:13" ht="48" customHeight="1">
      <c r="A8" s="438" t="s">
        <v>825</v>
      </c>
      <c r="B8" s="438" t="s">
        <v>344</v>
      </c>
      <c r="C8" s="440" t="s">
        <v>474</v>
      </c>
      <c r="D8" s="438"/>
      <c r="E8" s="435" t="s">
        <v>815</v>
      </c>
      <c r="F8" s="435" t="s">
        <v>190</v>
      </c>
      <c r="G8" s="436" t="s">
        <v>826</v>
      </c>
      <c r="H8" s="436" t="s">
        <v>827</v>
      </c>
      <c r="I8" s="438"/>
      <c r="J8" s="439">
        <v>250</v>
      </c>
      <c r="K8" s="434"/>
      <c r="L8" s="431"/>
      <c r="M8" s="432"/>
    </row>
    <row r="9" spans="1:13" ht="66" customHeight="1">
      <c r="A9" s="438" t="s">
        <v>828</v>
      </c>
      <c r="B9" s="438" t="s">
        <v>687</v>
      </c>
      <c r="C9" s="440" t="s">
        <v>474</v>
      </c>
      <c r="D9" s="438"/>
      <c r="E9" s="435" t="s">
        <v>815</v>
      </c>
      <c r="F9" s="435" t="s">
        <v>190</v>
      </c>
      <c r="G9" s="436" t="s">
        <v>829</v>
      </c>
      <c r="H9" s="436" t="s">
        <v>477</v>
      </c>
      <c r="I9" s="438"/>
      <c r="J9" s="439">
        <v>600</v>
      </c>
      <c r="K9" s="434"/>
      <c r="L9" s="431"/>
      <c r="M9" s="432"/>
    </row>
    <row r="10" spans="1:13" ht="33.75" customHeight="1">
      <c r="A10" s="438" t="s">
        <v>830</v>
      </c>
      <c r="B10" s="438" t="s">
        <v>687</v>
      </c>
      <c r="C10" s="440" t="s">
        <v>474</v>
      </c>
      <c r="D10" s="438"/>
      <c r="E10" s="435" t="s">
        <v>815</v>
      </c>
      <c r="F10" s="435" t="s">
        <v>190</v>
      </c>
      <c r="G10" s="436" t="s">
        <v>831</v>
      </c>
      <c r="H10" s="436" t="s">
        <v>832</v>
      </c>
      <c r="I10" s="438"/>
      <c r="J10" s="439">
        <v>200</v>
      </c>
      <c r="K10" s="434"/>
      <c r="L10" s="431"/>
      <c r="M10" s="432"/>
    </row>
    <row r="11" spans="1:13" ht="33" customHeight="1">
      <c r="A11" s="438" t="s">
        <v>833</v>
      </c>
      <c r="B11" s="438" t="s">
        <v>687</v>
      </c>
      <c r="C11" s="440" t="s">
        <v>474</v>
      </c>
      <c r="D11" s="438"/>
      <c r="E11" s="435" t="s">
        <v>815</v>
      </c>
      <c r="F11" s="435" t="s">
        <v>190</v>
      </c>
      <c r="G11" s="436" t="s">
        <v>834</v>
      </c>
      <c r="H11" s="436" t="s">
        <v>835</v>
      </c>
      <c r="I11" s="438"/>
      <c r="J11" s="439">
        <v>200</v>
      </c>
      <c r="K11" s="434"/>
      <c r="L11" s="431"/>
      <c r="M11" s="432"/>
    </row>
    <row r="12" spans="1:13" ht="48" customHeight="1">
      <c r="A12" s="438" t="s">
        <v>836</v>
      </c>
      <c r="B12" s="438" t="s">
        <v>344</v>
      </c>
      <c r="C12" s="440" t="s">
        <v>474</v>
      </c>
      <c r="D12" s="438"/>
      <c r="E12" s="435" t="s">
        <v>815</v>
      </c>
      <c r="F12" s="435" t="s">
        <v>190</v>
      </c>
      <c r="G12" s="436" t="s">
        <v>837</v>
      </c>
      <c r="H12" s="436" t="s">
        <v>838</v>
      </c>
      <c r="I12" s="438"/>
      <c r="J12" s="439">
        <v>200</v>
      </c>
      <c r="K12" s="434"/>
      <c r="L12" s="431"/>
      <c r="M12" s="432"/>
    </row>
    <row r="13" spans="1:13" ht="30" customHeight="1">
      <c r="A13" s="438" t="s">
        <v>839</v>
      </c>
      <c r="B13" s="438" t="s">
        <v>688</v>
      </c>
      <c r="C13" s="440" t="s">
        <v>474</v>
      </c>
      <c r="D13" s="438"/>
      <c r="E13" s="435" t="s">
        <v>815</v>
      </c>
      <c r="F13" s="435" t="s">
        <v>190</v>
      </c>
      <c r="G13" s="436" t="s">
        <v>840</v>
      </c>
      <c r="H13" s="436" t="s">
        <v>841</v>
      </c>
      <c r="I13" s="438"/>
      <c r="J13" s="439">
        <v>200</v>
      </c>
      <c r="K13" s="434"/>
      <c r="L13" s="431"/>
      <c r="M13" s="432"/>
    </row>
    <row r="14" spans="1:8" ht="15.75">
      <c r="A14" s="441"/>
      <c r="B14" s="441"/>
      <c r="C14" s="441"/>
      <c r="D14" s="441"/>
      <c r="E14" s="441"/>
      <c r="F14" s="441"/>
      <c r="G14" s="441"/>
      <c r="H14" s="441"/>
    </row>
  </sheetData>
  <mergeCells count="1">
    <mergeCell ref="A1:M1"/>
  </mergeCells>
  <conditionalFormatting sqref="B3:B13 G3:H13 L3:L13">
    <cfRule type="cellIs" priority="1" dxfId="0" operator="equal" stopIfTrue="1">
      <formula>"schválené"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59"/>
  <sheetViews>
    <sheetView workbookViewId="0" topLeftCell="A16">
      <selection activeCell="D18" sqref="D18"/>
    </sheetView>
  </sheetViews>
  <sheetFormatPr defaultColWidth="9.00390625" defaultRowHeight="15.75"/>
  <cols>
    <col min="1" max="1" width="14.125" style="0" customWidth="1"/>
    <col min="2" max="2" width="21.625" style="0" customWidth="1"/>
    <col min="3" max="3" width="36.875" style="0" customWidth="1"/>
    <col min="4" max="4" width="19.625" style="0" customWidth="1"/>
    <col min="5" max="5" width="20.75390625" style="0" customWidth="1"/>
  </cols>
  <sheetData>
    <row r="1" spans="1:5" ht="20.25">
      <c r="A1" s="463" t="s">
        <v>694</v>
      </c>
      <c r="B1" s="463"/>
      <c r="C1" s="463"/>
      <c r="D1" s="463"/>
      <c r="E1" s="463"/>
    </row>
    <row r="2" spans="1:5" ht="21" thickBot="1">
      <c r="A2" s="376"/>
      <c r="B2" s="376"/>
      <c r="C2" s="376"/>
      <c r="D2" s="376"/>
      <c r="E2" s="376"/>
    </row>
    <row r="3" spans="1:5" ht="16.5" thickBot="1">
      <c r="A3" s="298" t="s">
        <v>695</v>
      </c>
      <c r="B3" s="400" t="s">
        <v>696</v>
      </c>
      <c r="C3" s="400" t="s">
        <v>697</v>
      </c>
      <c r="D3" s="400" t="s">
        <v>698</v>
      </c>
      <c r="E3" s="401" t="s">
        <v>699</v>
      </c>
    </row>
    <row r="4" spans="1:5" ht="32.25" customHeight="1">
      <c r="A4" s="402" t="s">
        <v>700</v>
      </c>
      <c r="B4" s="402" t="s">
        <v>701</v>
      </c>
      <c r="C4" s="403" t="s">
        <v>702</v>
      </c>
      <c r="D4" s="402" t="s">
        <v>703</v>
      </c>
      <c r="E4" s="404" t="s">
        <v>704</v>
      </c>
    </row>
    <row r="5" spans="1:5" ht="36" customHeight="1">
      <c r="A5" s="402" t="s">
        <v>700</v>
      </c>
      <c r="B5" s="402" t="s">
        <v>701</v>
      </c>
      <c r="C5" s="403" t="s">
        <v>705</v>
      </c>
      <c r="D5" s="402" t="s">
        <v>706</v>
      </c>
      <c r="E5" s="404" t="s">
        <v>707</v>
      </c>
    </row>
    <row r="6" spans="1:5" ht="17.25" customHeight="1">
      <c r="A6" s="402" t="s">
        <v>708</v>
      </c>
      <c r="B6" s="402" t="s">
        <v>709</v>
      </c>
      <c r="C6" s="403" t="s">
        <v>710</v>
      </c>
      <c r="D6" s="402" t="s">
        <v>711</v>
      </c>
      <c r="E6" s="405" t="s">
        <v>712</v>
      </c>
    </row>
    <row r="7" spans="1:5" ht="16.5" customHeight="1">
      <c r="A7" s="402" t="s">
        <v>708</v>
      </c>
      <c r="B7" s="402" t="s">
        <v>709</v>
      </c>
      <c r="C7" s="403" t="s">
        <v>713</v>
      </c>
      <c r="D7" s="402" t="s">
        <v>711</v>
      </c>
      <c r="E7" s="405" t="s">
        <v>712</v>
      </c>
    </row>
    <row r="8" spans="1:5" ht="18" customHeight="1">
      <c r="A8" s="402" t="s">
        <v>708</v>
      </c>
      <c r="B8" s="402" t="s">
        <v>714</v>
      </c>
      <c r="C8" s="403" t="s">
        <v>713</v>
      </c>
      <c r="D8" s="402" t="s">
        <v>711</v>
      </c>
      <c r="E8" s="405" t="s">
        <v>712</v>
      </c>
    </row>
    <row r="9" spans="1:5" ht="15.75" customHeight="1">
      <c r="A9" s="402" t="s">
        <v>708</v>
      </c>
      <c r="B9" s="402" t="s">
        <v>715</v>
      </c>
      <c r="C9" s="403" t="s">
        <v>710</v>
      </c>
      <c r="D9" s="402" t="s">
        <v>711</v>
      </c>
      <c r="E9" s="405" t="s">
        <v>716</v>
      </c>
    </row>
    <row r="10" spans="1:5" ht="18" customHeight="1">
      <c r="A10" s="402" t="s">
        <v>717</v>
      </c>
      <c r="B10" s="402" t="s">
        <v>718</v>
      </c>
      <c r="C10" s="403" t="s">
        <v>719</v>
      </c>
      <c r="D10" s="406" t="s">
        <v>720</v>
      </c>
      <c r="E10" s="404" t="s">
        <v>721</v>
      </c>
    </row>
    <row r="11" spans="1:5" ht="18" customHeight="1">
      <c r="A11" s="402" t="s">
        <v>722</v>
      </c>
      <c r="B11" s="402" t="s">
        <v>723</v>
      </c>
      <c r="C11" s="403" t="s">
        <v>724</v>
      </c>
      <c r="D11" s="402" t="s">
        <v>725</v>
      </c>
      <c r="E11" s="404" t="s">
        <v>726</v>
      </c>
    </row>
    <row r="12" spans="1:5" ht="15.75">
      <c r="A12" s="402" t="s">
        <v>722</v>
      </c>
      <c r="B12" s="402" t="s">
        <v>723</v>
      </c>
      <c r="C12" s="403" t="s">
        <v>727</v>
      </c>
      <c r="D12" s="407" t="s">
        <v>728</v>
      </c>
      <c r="E12" s="407" t="s">
        <v>729</v>
      </c>
    </row>
    <row r="13" spans="1:5" ht="17.25" customHeight="1">
      <c r="A13" s="402" t="s">
        <v>730</v>
      </c>
      <c r="B13" s="402" t="s">
        <v>715</v>
      </c>
      <c r="C13" s="403" t="s">
        <v>731</v>
      </c>
      <c r="D13" s="402" t="s">
        <v>732</v>
      </c>
      <c r="E13" s="404" t="s">
        <v>733</v>
      </c>
    </row>
    <row r="14" spans="1:5" ht="32.25" customHeight="1">
      <c r="A14" s="419" t="s">
        <v>730</v>
      </c>
      <c r="B14" s="419" t="s">
        <v>715</v>
      </c>
      <c r="C14" s="403" t="s">
        <v>734</v>
      </c>
      <c r="D14" s="419" t="s">
        <v>735</v>
      </c>
      <c r="E14" s="420" t="s">
        <v>736</v>
      </c>
    </row>
    <row r="15" spans="1:5" ht="14.25" customHeight="1">
      <c r="A15" s="402" t="s">
        <v>730</v>
      </c>
      <c r="B15" s="402" t="s">
        <v>737</v>
      </c>
      <c r="C15" s="403" t="s">
        <v>738</v>
      </c>
      <c r="D15" s="402" t="s">
        <v>703</v>
      </c>
      <c r="E15" s="404" t="s">
        <v>739</v>
      </c>
    </row>
    <row r="16" spans="1:5" ht="15.75">
      <c r="A16" s="402" t="s">
        <v>730</v>
      </c>
      <c r="B16" s="402" t="s">
        <v>714</v>
      </c>
      <c r="C16" s="403" t="s">
        <v>738</v>
      </c>
      <c r="D16" s="402" t="s">
        <v>703</v>
      </c>
      <c r="E16" s="404" t="s">
        <v>739</v>
      </c>
    </row>
    <row r="17" spans="1:5" ht="31.5">
      <c r="A17" s="419" t="s">
        <v>730</v>
      </c>
      <c r="B17" s="419" t="s">
        <v>737</v>
      </c>
      <c r="C17" s="421" t="s">
        <v>740</v>
      </c>
      <c r="D17" s="422" t="s">
        <v>741</v>
      </c>
      <c r="E17" s="420" t="s">
        <v>742</v>
      </c>
    </row>
    <row r="18" spans="1:5" ht="31.5">
      <c r="A18" s="419" t="s">
        <v>730</v>
      </c>
      <c r="B18" s="419" t="s">
        <v>737</v>
      </c>
      <c r="C18" s="421" t="s">
        <v>743</v>
      </c>
      <c r="D18" s="423" t="s">
        <v>741</v>
      </c>
      <c r="E18" s="420" t="s">
        <v>744</v>
      </c>
    </row>
    <row r="19" spans="1:5" ht="15.75">
      <c r="A19" s="402" t="s">
        <v>730</v>
      </c>
      <c r="B19" s="402" t="s">
        <v>715</v>
      </c>
      <c r="C19" s="403" t="s">
        <v>738</v>
      </c>
      <c r="D19" s="402" t="s">
        <v>703</v>
      </c>
      <c r="E19" s="404" t="s">
        <v>739</v>
      </c>
    </row>
    <row r="20" spans="1:5" ht="15.75">
      <c r="A20" s="402" t="s">
        <v>730</v>
      </c>
      <c r="B20" s="402" t="s">
        <v>718</v>
      </c>
      <c r="C20" s="403" t="s">
        <v>745</v>
      </c>
      <c r="D20" s="408" t="s">
        <v>706</v>
      </c>
      <c r="E20" s="404" t="s">
        <v>746</v>
      </c>
    </row>
    <row r="21" spans="1:5" ht="18" customHeight="1">
      <c r="A21" s="402" t="s">
        <v>730</v>
      </c>
      <c r="B21" s="402" t="s">
        <v>715</v>
      </c>
      <c r="C21" s="409" t="s">
        <v>747</v>
      </c>
      <c r="D21" s="402" t="s">
        <v>748</v>
      </c>
      <c r="E21" s="402" t="s">
        <v>749</v>
      </c>
    </row>
    <row r="22" spans="1:5" ht="18" customHeight="1">
      <c r="A22" s="402" t="s">
        <v>730</v>
      </c>
      <c r="B22" s="402" t="s">
        <v>714</v>
      </c>
      <c r="C22" s="403" t="s">
        <v>731</v>
      </c>
      <c r="D22" s="402" t="s">
        <v>732</v>
      </c>
      <c r="E22" s="404" t="s">
        <v>733</v>
      </c>
    </row>
    <row r="23" spans="1:5" ht="15.75">
      <c r="A23" s="402" t="s">
        <v>730</v>
      </c>
      <c r="B23" s="402" t="s">
        <v>701</v>
      </c>
      <c r="C23" s="403" t="s">
        <v>750</v>
      </c>
      <c r="D23" s="402" t="s">
        <v>751</v>
      </c>
      <c r="E23" s="402" t="s">
        <v>752</v>
      </c>
    </row>
    <row r="24" spans="1:5" ht="30.75" customHeight="1">
      <c r="A24" s="419" t="s">
        <v>730</v>
      </c>
      <c r="B24" s="419" t="s">
        <v>718</v>
      </c>
      <c r="C24" s="421" t="s">
        <v>753</v>
      </c>
      <c r="D24" s="419" t="s">
        <v>741</v>
      </c>
      <c r="E24" s="424">
        <v>40625</v>
      </c>
    </row>
    <row r="25" spans="1:5" ht="15.75">
      <c r="A25" s="402" t="s">
        <v>730</v>
      </c>
      <c r="B25" s="402" t="s">
        <v>714</v>
      </c>
      <c r="C25" s="409" t="s">
        <v>747</v>
      </c>
      <c r="D25" s="402" t="s">
        <v>748</v>
      </c>
      <c r="E25" s="402" t="s">
        <v>749</v>
      </c>
    </row>
    <row r="26" spans="1:5" ht="17.25" customHeight="1">
      <c r="A26" s="402" t="s">
        <v>730</v>
      </c>
      <c r="B26" s="402" t="s">
        <v>737</v>
      </c>
      <c r="C26" s="403" t="s">
        <v>731</v>
      </c>
      <c r="D26" s="402" t="s">
        <v>732</v>
      </c>
      <c r="E26" s="404" t="s">
        <v>733</v>
      </c>
    </row>
    <row r="27" spans="1:5" ht="31.5">
      <c r="A27" s="419" t="s">
        <v>754</v>
      </c>
      <c r="B27" s="419" t="s">
        <v>715</v>
      </c>
      <c r="C27" s="421" t="s">
        <v>755</v>
      </c>
      <c r="D27" s="419" t="s">
        <v>756</v>
      </c>
      <c r="E27" s="420" t="s">
        <v>757</v>
      </c>
    </row>
    <row r="28" spans="1:5" ht="15.75">
      <c r="A28" s="402" t="s">
        <v>754</v>
      </c>
      <c r="B28" s="402" t="s">
        <v>714</v>
      </c>
      <c r="C28" s="403" t="s">
        <v>758</v>
      </c>
      <c r="D28" s="402" t="s">
        <v>725</v>
      </c>
      <c r="E28" s="404" t="s">
        <v>759</v>
      </c>
    </row>
    <row r="29" spans="1:5" ht="16.5" customHeight="1">
      <c r="A29" s="402" t="s">
        <v>754</v>
      </c>
      <c r="B29" s="402" t="s">
        <v>715</v>
      </c>
      <c r="C29" s="403" t="s">
        <v>760</v>
      </c>
      <c r="D29" s="402" t="s">
        <v>761</v>
      </c>
      <c r="E29" s="404" t="s">
        <v>762</v>
      </c>
    </row>
    <row r="30" spans="1:5" ht="30" customHeight="1">
      <c r="A30" s="419" t="s">
        <v>754</v>
      </c>
      <c r="B30" s="419" t="s">
        <v>714</v>
      </c>
      <c r="C30" s="421" t="s">
        <v>755</v>
      </c>
      <c r="D30" s="419" t="s">
        <v>756</v>
      </c>
      <c r="E30" s="420" t="s">
        <v>757</v>
      </c>
    </row>
    <row r="31" spans="1:5" ht="15.75">
      <c r="A31" s="402" t="s">
        <v>754</v>
      </c>
      <c r="B31" s="402" t="s">
        <v>723</v>
      </c>
      <c r="C31" s="403" t="s">
        <v>763</v>
      </c>
      <c r="D31" s="402" t="s">
        <v>728</v>
      </c>
      <c r="E31" s="404" t="s">
        <v>764</v>
      </c>
    </row>
    <row r="32" spans="1:5" ht="18.75" customHeight="1">
      <c r="A32" s="402" t="s">
        <v>754</v>
      </c>
      <c r="B32" s="402" t="s">
        <v>715</v>
      </c>
      <c r="C32" s="403" t="s">
        <v>758</v>
      </c>
      <c r="D32" s="402" t="s">
        <v>725</v>
      </c>
      <c r="E32" s="404" t="s">
        <v>759</v>
      </c>
    </row>
    <row r="33" spans="1:5" ht="34.5" customHeight="1">
      <c r="A33" s="419" t="s">
        <v>754</v>
      </c>
      <c r="B33" s="419" t="s">
        <v>737</v>
      </c>
      <c r="C33" s="421" t="s">
        <v>765</v>
      </c>
      <c r="D33" s="420" t="s">
        <v>761</v>
      </c>
      <c r="E33" s="420" t="s">
        <v>766</v>
      </c>
    </row>
    <row r="34" spans="1:5" ht="47.25">
      <c r="A34" s="419" t="s">
        <v>754</v>
      </c>
      <c r="B34" s="419" t="s">
        <v>715</v>
      </c>
      <c r="C34" s="421" t="s">
        <v>765</v>
      </c>
      <c r="D34" s="420" t="s">
        <v>761</v>
      </c>
      <c r="E34" s="420" t="s">
        <v>766</v>
      </c>
    </row>
    <row r="35" spans="1:5" ht="15.75">
      <c r="A35" s="402" t="s">
        <v>754</v>
      </c>
      <c r="B35" s="402" t="s">
        <v>723</v>
      </c>
      <c r="C35" s="403" t="s">
        <v>767</v>
      </c>
      <c r="D35" s="408" t="s">
        <v>728</v>
      </c>
      <c r="E35" s="404" t="s">
        <v>768</v>
      </c>
    </row>
    <row r="36" spans="1:5" ht="18.75" customHeight="1">
      <c r="A36" s="411" t="s">
        <v>754</v>
      </c>
      <c r="B36" s="411" t="s">
        <v>737</v>
      </c>
      <c r="C36" s="412" t="s">
        <v>769</v>
      </c>
      <c r="D36" s="411" t="s">
        <v>711</v>
      </c>
      <c r="E36" s="405" t="s">
        <v>716</v>
      </c>
    </row>
    <row r="37" spans="1:5" ht="15.75">
      <c r="A37" s="408" t="s">
        <v>754</v>
      </c>
      <c r="B37" s="408" t="s">
        <v>709</v>
      </c>
      <c r="C37" s="413" t="s">
        <v>770</v>
      </c>
      <c r="D37" s="408" t="s">
        <v>728</v>
      </c>
      <c r="E37" s="408" t="s">
        <v>771</v>
      </c>
    </row>
    <row r="38" spans="1:5" ht="16.5" customHeight="1">
      <c r="A38" s="408" t="s">
        <v>754</v>
      </c>
      <c r="B38" s="408" t="s">
        <v>714</v>
      </c>
      <c r="C38" s="414" t="s">
        <v>760</v>
      </c>
      <c r="D38" s="408" t="s">
        <v>761</v>
      </c>
      <c r="E38" s="407" t="s">
        <v>762</v>
      </c>
    </row>
    <row r="39" spans="1:5" ht="15.75">
      <c r="A39" s="402" t="s">
        <v>754</v>
      </c>
      <c r="B39" s="402" t="s">
        <v>715</v>
      </c>
      <c r="C39" s="403" t="s">
        <v>772</v>
      </c>
      <c r="D39" s="402" t="s">
        <v>728</v>
      </c>
      <c r="E39" s="402" t="s">
        <v>773</v>
      </c>
    </row>
    <row r="40" spans="1:5" ht="31.5">
      <c r="A40" s="419" t="s">
        <v>754</v>
      </c>
      <c r="B40" s="419" t="s">
        <v>701</v>
      </c>
      <c r="C40" s="421" t="s">
        <v>774</v>
      </c>
      <c r="D40" s="419" t="s">
        <v>728</v>
      </c>
      <c r="E40" s="420" t="s">
        <v>775</v>
      </c>
    </row>
    <row r="41" spans="1:5" ht="15.75">
      <c r="A41" s="402" t="s">
        <v>754</v>
      </c>
      <c r="B41" s="402" t="s">
        <v>714</v>
      </c>
      <c r="C41" s="403" t="s">
        <v>772</v>
      </c>
      <c r="D41" s="402" t="s">
        <v>728</v>
      </c>
      <c r="E41" s="402" t="s">
        <v>773</v>
      </c>
    </row>
    <row r="42" spans="1:5" ht="18.75" customHeight="1">
      <c r="A42" s="402" t="s">
        <v>754</v>
      </c>
      <c r="B42" s="402" t="s">
        <v>715</v>
      </c>
      <c r="C42" s="412" t="s">
        <v>769</v>
      </c>
      <c r="D42" s="411" t="s">
        <v>711</v>
      </c>
      <c r="E42" s="405" t="s">
        <v>712</v>
      </c>
    </row>
    <row r="43" spans="1:5" ht="18.75" customHeight="1">
      <c r="A43" s="402" t="s">
        <v>754</v>
      </c>
      <c r="B43" s="402" t="s">
        <v>715</v>
      </c>
      <c r="C43" s="403" t="s">
        <v>776</v>
      </c>
      <c r="D43" s="402" t="s">
        <v>728</v>
      </c>
      <c r="E43" s="404" t="s">
        <v>777</v>
      </c>
    </row>
    <row r="44" spans="1:5" ht="18" customHeight="1">
      <c r="A44" s="402" t="s">
        <v>754</v>
      </c>
      <c r="B44" s="402" t="s">
        <v>718</v>
      </c>
      <c r="C44" s="403" t="s">
        <v>778</v>
      </c>
      <c r="D44" s="404" t="s">
        <v>728</v>
      </c>
      <c r="E44" s="404" t="s">
        <v>779</v>
      </c>
    </row>
    <row r="45" spans="1:5" ht="16.5" customHeight="1">
      <c r="A45" s="402" t="s">
        <v>754</v>
      </c>
      <c r="B45" s="402" t="s">
        <v>737</v>
      </c>
      <c r="C45" s="403" t="s">
        <v>776</v>
      </c>
      <c r="D45" s="415" t="s">
        <v>728</v>
      </c>
      <c r="E45" s="410" t="s">
        <v>780</v>
      </c>
    </row>
    <row r="46" spans="1:5" ht="15.75">
      <c r="A46" s="402" t="s">
        <v>754</v>
      </c>
      <c r="B46" s="402" t="s">
        <v>714</v>
      </c>
      <c r="C46" s="403" t="s">
        <v>772</v>
      </c>
      <c r="D46" s="402" t="s">
        <v>728</v>
      </c>
      <c r="E46" s="402" t="s">
        <v>773</v>
      </c>
    </row>
    <row r="47" spans="1:5" ht="17.25" customHeight="1">
      <c r="A47" s="408" t="s">
        <v>754</v>
      </c>
      <c r="B47" s="408" t="s">
        <v>737</v>
      </c>
      <c r="C47" s="414" t="s">
        <v>781</v>
      </c>
      <c r="D47" s="408" t="s">
        <v>782</v>
      </c>
      <c r="E47" s="407" t="s">
        <v>783</v>
      </c>
    </row>
    <row r="48" spans="1:5" ht="16.5" customHeight="1">
      <c r="A48" s="408" t="s">
        <v>754</v>
      </c>
      <c r="B48" s="408" t="s">
        <v>714</v>
      </c>
      <c r="C48" s="413" t="s">
        <v>769</v>
      </c>
      <c r="D48" s="416" t="s">
        <v>711</v>
      </c>
      <c r="E48" s="417" t="s">
        <v>712</v>
      </c>
    </row>
    <row r="49" spans="1:5" ht="34.5" customHeight="1">
      <c r="A49" s="419" t="s">
        <v>784</v>
      </c>
      <c r="B49" s="419" t="s">
        <v>701</v>
      </c>
      <c r="C49" s="421" t="s">
        <v>785</v>
      </c>
      <c r="D49" s="419" t="s">
        <v>706</v>
      </c>
      <c r="E49" s="420" t="s">
        <v>786</v>
      </c>
    </row>
    <row r="50" spans="1:5" ht="15.75">
      <c r="A50" s="402" t="s">
        <v>784</v>
      </c>
      <c r="B50" s="402" t="s">
        <v>701</v>
      </c>
      <c r="C50" s="403" t="s">
        <v>787</v>
      </c>
      <c r="D50" s="402" t="s">
        <v>788</v>
      </c>
      <c r="E50" s="404" t="s">
        <v>789</v>
      </c>
    </row>
    <row r="51" spans="1:5" s="426" customFormat="1" ht="33" customHeight="1">
      <c r="A51" s="425" t="s">
        <v>784</v>
      </c>
      <c r="B51" s="425" t="s">
        <v>718</v>
      </c>
      <c r="C51" s="421" t="s">
        <v>790</v>
      </c>
      <c r="D51" s="420" t="s">
        <v>791</v>
      </c>
      <c r="E51" s="420" t="s">
        <v>792</v>
      </c>
    </row>
    <row r="52" spans="1:5" ht="31.5">
      <c r="A52" s="419" t="s">
        <v>784</v>
      </c>
      <c r="B52" s="419" t="s">
        <v>701</v>
      </c>
      <c r="C52" s="421" t="s">
        <v>740</v>
      </c>
      <c r="D52" s="422" t="s">
        <v>741</v>
      </c>
      <c r="E52" s="420" t="s">
        <v>742</v>
      </c>
    </row>
    <row r="53" spans="1:5" ht="15.75">
      <c r="A53" s="402" t="s">
        <v>784</v>
      </c>
      <c r="B53" s="402" t="s">
        <v>723</v>
      </c>
      <c r="C53" s="403" t="s">
        <v>793</v>
      </c>
      <c r="D53" s="402" t="s">
        <v>794</v>
      </c>
      <c r="E53" s="404" t="s">
        <v>795</v>
      </c>
    </row>
    <row r="54" spans="1:5" ht="18" customHeight="1">
      <c r="A54" s="402" t="s">
        <v>784</v>
      </c>
      <c r="B54" s="402" t="s">
        <v>718</v>
      </c>
      <c r="C54" s="403" t="s">
        <v>796</v>
      </c>
      <c r="D54" s="402" t="s">
        <v>797</v>
      </c>
      <c r="E54" s="404" t="s">
        <v>798</v>
      </c>
    </row>
    <row r="55" spans="1:5" ht="17.25" customHeight="1">
      <c r="A55" s="402" t="s">
        <v>799</v>
      </c>
      <c r="B55" s="402" t="s">
        <v>737</v>
      </c>
      <c r="C55" s="403" t="s">
        <v>760</v>
      </c>
      <c r="D55" s="402" t="s">
        <v>761</v>
      </c>
      <c r="E55" s="404" t="s">
        <v>762</v>
      </c>
    </row>
    <row r="56" spans="1:5" ht="15.75">
      <c r="A56" s="402" t="s">
        <v>800</v>
      </c>
      <c r="B56" s="402" t="s">
        <v>801</v>
      </c>
      <c r="C56" s="403" t="s">
        <v>802</v>
      </c>
      <c r="D56" s="402" t="s">
        <v>728</v>
      </c>
      <c r="E56" s="404" t="s">
        <v>803</v>
      </c>
    </row>
    <row r="57" spans="1:5" ht="31.5">
      <c r="A57" s="425" t="s">
        <v>804</v>
      </c>
      <c r="B57" s="425" t="s">
        <v>709</v>
      </c>
      <c r="C57" s="421" t="s">
        <v>805</v>
      </c>
      <c r="D57" s="419" t="s">
        <v>728</v>
      </c>
      <c r="E57" s="419" t="s">
        <v>806</v>
      </c>
    </row>
    <row r="58" spans="1:5" ht="15.75">
      <c r="A58" s="107" t="s">
        <v>807</v>
      </c>
      <c r="B58" s="107" t="s">
        <v>709</v>
      </c>
      <c r="C58" s="418" t="s">
        <v>808</v>
      </c>
      <c r="D58" s="107" t="s">
        <v>809</v>
      </c>
      <c r="E58" s="402" t="s">
        <v>810</v>
      </c>
    </row>
    <row r="59" spans="1:5" ht="15.75" customHeight="1">
      <c r="A59" s="107" t="s">
        <v>811</v>
      </c>
      <c r="B59" s="107" t="s">
        <v>737</v>
      </c>
      <c r="C59" s="418" t="s">
        <v>812</v>
      </c>
      <c r="D59" s="107" t="s">
        <v>728</v>
      </c>
      <c r="E59" s="402" t="s">
        <v>813</v>
      </c>
    </row>
  </sheetData>
  <mergeCells count="1">
    <mergeCell ref="A1:E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40" zoomScalePageLayoutView="0" workbookViewId="0" topLeftCell="A1">
      <selection activeCell="A1" sqref="A1:G1"/>
    </sheetView>
  </sheetViews>
  <sheetFormatPr defaultColWidth="9.00390625" defaultRowHeight="15.75"/>
  <cols>
    <col min="1" max="6" width="10.625" style="0" customWidth="1"/>
    <col min="7" max="7" width="11.50390625" style="0" customWidth="1"/>
  </cols>
  <sheetData>
    <row r="1" spans="1:7" ht="20.25">
      <c r="A1" s="463" t="s">
        <v>4</v>
      </c>
      <c r="B1" s="442"/>
      <c r="C1" s="442"/>
      <c r="D1" s="442"/>
      <c r="E1" s="442"/>
      <c r="F1" s="442"/>
      <c r="G1" s="442"/>
    </row>
    <row r="2" spans="1:7" ht="16.5" thickBot="1">
      <c r="A2" s="443" t="s">
        <v>38</v>
      </c>
      <c r="B2" s="443"/>
      <c r="C2" s="443"/>
      <c r="D2" s="443"/>
      <c r="E2" s="443"/>
      <c r="F2" s="443"/>
      <c r="G2" s="443"/>
    </row>
    <row r="3" spans="1:7" ht="16.5" thickBot="1">
      <c r="A3" s="78" t="s">
        <v>32</v>
      </c>
      <c r="B3" s="67">
        <v>2006</v>
      </c>
      <c r="C3" s="67">
        <v>2007</v>
      </c>
      <c r="D3" s="67">
        <v>2008</v>
      </c>
      <c r="E3" s="67">
        <v>2009</v>
      </c>
      <c r="F3" s="67">
        <v>2010</v>
      </c>
      <c r="G3" s="79">
        <v>2011</v>
      </c>
    </row>
    <row r="4" spans="1:7" ht="15.75">
      <c r="A4" s="10">
        <v>1</v>
      </c>
      <c r="B4" s="52">
        <v>2295</v>
      </c>
      <c r="C4" s="52">
        <v>3013</v>
      </c>
      <c r="D4" s="52">
        <v>3068</v>
      </c>
      <c r="E4" s="52">
        <v>3355</v>
      </c>
      <c r="F4" s="52">
        <v>2894</v>
      </c>
      <c r="G4" s="52">
        <v>2730</v>
      </c>
    </row>
    <row r="5" spans="1:7" ht="15.75">
      <c r="A5" s="2">
        <v>2</v>
      </c>
      <c r="B5" s="3">
        <v>28</v>
      </c>
      <c r="C5" s="3">
        <v>92</v>
      </c>
      <c r="D5" s="3">
        <v>971</v>
      </c>
      <c r="E5" s="3">
        <v>1589</v>
      </c>
      <c r="F5" s="3">
        <v>1496</v>
      </c>
      <c r="G5" s="3">
        <v>1448</v>
      </c>
    </row>
    <row r="6" spans="1:7" ht="15.75">
      <c r="A6" s="2" t="s">
        <v>3</v>
      </c>
      <c r="B6" s="3">
        <v>1460</v>
      </c>
      <c r="C6" s="3">
        <v>1018</v>
      </c>
      <c r="D6" s="3">
        <v>573</v>
      </c>
      <c r="E6" s="3">
        <v>27</v>
      </c>
      <c r="F6" s="3">
        <v>6</v>
      </c>
      <c r="G6" s="3">
        <v>0</v>
      </c>
    </row>
    <row r="7" spans="1:7" ht="15.75">
      <c r="A7" s="2">
        <v>3</v>
      </c>
      <c r="B7" s="3">
        <v>131</v>
      </c>
      <c r="C7" s="3">
        <v>125</v>
      </c>
      <c r="D7" s="3">
        <v>133</v>
      </c>
      <c r="E7" s="3">
        <v>166</v>
      </c>
      <c r="F7" s="3">
        <v>188</v>
      </c>
      <c r="G7" s="3">
        <v>188</v>
      </c>
    </row>
    <row r="8" spans="1:7" ht="15.75">
      <c r="A8" s="82" t="s">
        <v>40</v>
      </c>
      <c r="B8" s="39">
        <f aca="true" t="shared" si="0" ref="B8:G8">SUM(B4:B7)</f>
        <v>3914</v>
      </c>
      <c r="C8" s="39">
        <f t="shared" si="0"/>
        <v>4248</v>
      </c>
      <c r="D8" s="39">
        <f t="shared" si="0"/>
        <v>4745</v>
      </c>
      <c r="E8" s="39">
        <f t="shared" si="0"/>
        <v>5137</v>
      </c>
      <c r="F8" s="39">
        <f t="shared" si="0"/>
        <v>4584</v>
      </c>
      <c r="G8" s="39">
        <f t="shared" si="0"/>
        <v>4366</v>
      </c>
    </row>
    <row r="9" spans="1:7" ht="16.5" thickBot="1">
      <c r="A9" s="443" t="s">
        <v>39</v>
      </c>
      <c r="B9" s="443"/>
      <c r="C9" s="443"/>
      <c r="D9" s="443"/>
      <c r="E9" s="443"/>
      <c r="F9" s="443"/>
      <c r="G9" s="443"/>
    </row>
    <row r="10" spans="1:7" ht="16.5" thickBot="1">
      <c r="A10" s="78" t="s">
        <v>32</v>
      </c>
      <c r="B10" s="67">
        <v>2006</v>
      </c>
      <c r="C10" s="67">
        <v>2007</v>
      </c>
      <c r="D10" s="67">
        <v>2008</v>
      </c>
      <c r="E10" s="67">
        <v>2009</v>
      </c>
      <c r="F10" s="67">
        <v>2010</v>
      </c>
      <c r="G10" s="79">
        <v>2011</v>
      </c>
    </row>
    <row r="11" spans="1:7" ht="15.75">
      <c r="A11" s="10">
        <v>1</v>
      </c>
      <c r="B11" s="52">
        <v>1822</v>
      </c>
      <c r="C11" s="52">
        <v>1535</v>
      </c>
      <c r="D11" s="52">
        <v>1693</v>
      </c>
      <c r="E11" s="52">
        <v>1780</v>
      </c>
      <c r="F11" s="52">
        <v>1766</v>
      </c>
      <c r="G11" s="52">
        <v>1624</v>
      </c>
    </row>
    <row r="12" spans="1:7" ht="15.75">
      <c r="A12" s="2">
        <v>2</v>
      </c>
      <c r="B12" s="3">
        <v>327</v>
      </c>
      <c r="C12" s="3">
        <v>387</v>
      </c>
      <c r="D12" s="3">
        <v>681</v>
      </c>
      <c r="E12" s="3">
        <v>926</v>
      </c>
      <c r="F12" s="3">
        <v>852</v>
      </c>
      <c r="G12" s="3">
        <v>810</v>
      </c>
    </row>
    <row r="13" spans="1:7" ht="15.75">
      <c r="A13" s="2" t="s">
        <v>3</v>
      </c>
      <c r="B13" s="3">
        <v>1173</v>
      </c>
      <c r="C13" s="3">
        <v>651</v>
      </c>
      <c r="D13" s="3">
        <v>4</v>
      </c>
      <c r="E13" s="3">
        <v>0</v>
      </c>
      <c r="F13" s="3">
        <v>1</v>
      </c>
      <c r="G13" s="3">
        <v>0</v>
      </c>
    </row>
    <row r="14" spans="1:7" ht="15.75">
      <c r="A14" s="2">
        <v>3</v>
      </c>
      <c r="B14" s="3">
        <v>495</v>
      </c>
      <c r="C14" s="3">
        <v>390</v>
      </c>
      <c r="D14" s="3">
        <v>323</v>
      </c>
      <c r="E14" s="3">
        <v>275</v>
      </c>
      <c r="F14" s="3">
        <v>286</v>
      </c>
      <c r="G14" s="3">
        <v>268</v>
      </c>
    </row>
    <row r="15" spans="1:7" ht="15.75">
      <c r="A15" s="82" t="s">
        <v>40</v>
      </c>
      <c r="B15" s="39">
        <f aca="true" t="shared" si="1" ref="B15:G15">SUM(B11:B14)</f>
        <v>3817</v>
      </c>
      <c r="C15" s="39">
        <f t="shared" si="1"/>
        <v>2963</v>
      </c>
      <c r="D15" s="39">
        <f t="shared" si="1"/>
        <v>2701</v>
      </c>
      <c r="E15" s="39">
        <f t="shared" si="1"/>
        <v>2981</v>
      </c>
      <c r="F15" s="39">
        <f t="shared" si="1"/>
        <v>2905</v>
      </c>
      <c r="G15" s="39">
        <f t="shared" si="1"/>
        <v>2702</v>
      </c>
    </row>
    <row r="16" spans="1:7" ht="16.5" thickBot="1">
      <c r="A16" s="444" t="s">
        <v>104</v>
      </c>
      <c r="B16" s="444"/>
      <c r="C16" s="444"/>
      <c r="D16" s="444"/>
      <c r="E16" s="444"/>
      <c r="F16" s="444"/>
      <c r="G16" s="444"/>
    </row>
    <row r="17" spans="1:7" ht="16.5" thickBot="1">
      <c r="A17" s="78" t="s">
        <v>42</v>
      </c>
      <c r="B17" s="67">
        <v>2006</v>
      </c>
      <c r="C17" s="67">
        <v>2007</v>
      </c>
      <c r="D17" s="67">
        <v>2008</v>
      </c>
      <c r="E17" s="67">
        <v>2009</v>
      </c>
      <c r="F17" s="67">
        <v>2010</v>
      </c>
      <c r="G17" s="79">
        <v>2011</v>
      </c>
    </row>
    <row r="18" spans="1:7" ht="15.75">
      <c r="A18" s="96">
        <v>1</v>
      </c>
      <c r="B18" s="64">
        <f aca="true" t="shared" si="2" ref="B18:G18">+B11+B4</f>
        <v>4117</v>
      </c>
      <c r="C18" s="64">
        <f t="shared" si="2"/>
        <v>4548</v>
      </c>
      <c r="D18" s="64">
        <f t="shared" si="2"/>
        <v>4761</v>
      </c>
      <c r="E18" s="64">
        <f t="shared" si="2"/>
        <v>5135</v>
      </c>
      <c r="F18" s="64">
        <f t="shared" si="2"/>
        <v>4660</v>
      </c>
      <c r="G18" s="64">
        <f t="shared" si="2"/>
        <v>4354</v>
      </c>
    </row>
    <row r="19" spans="1:7" ht="15.75">
      <c r="A19" s="96">
        <v>2</v>
      </c>
      <c r="B19" s="64">
        <f aca="true" t="shared" si="3" ref="B19:G19">+B12+B5</f>
        <v>355</v>
      </c>
      <c r="C19" s="64">
        <f t="shared" si="3"/>
        <v>479</v>
      </c>
      <c r="D19" s="64">
        <f t="shared" si="3"/>
        <v>1652</v>
      </c>
      <c r="E19" s="64">
        <f t="shared" si="3"/>
        <v>2515</v>
      </c>
      <c r="F19" s="64">
        <f t="shared" si="3"/>
        <v>2348</v>
      </c>
      <c r="G19" s="64">
        <f t="shared" si="3"/>
        <v>2258</v>
      </c>
    </row>
    <row r="20" spans="1:7" ht="15.75">
      <c r="A20" s="82" t="s">
        <v>3</v>
      </c>
      <c r="B20" s="64">
        <f aca="true" t="shared" si="4" ref="B20:G20">+B13+B6</f>
        <v>2633</v>
      </c>
      <c r="C20" s="64">
        <f t="shared" si="4"/>
        <v>1669</v>
      </c>
      <c r="D20" s="64">
        <f t="shared" si="4"/>
        <v>577</v>
      </c>
      <c r="E20" s="64">
        <f t="shared" si="4"/>
        <v>27</v>
      </c>
      <c r="F20" s="64">
        <f t="shared" si="4"/>
        <v>7</v>
      </c>
      <c r="G20" s="64">
        <f t="shared" si="4"/>
        <v>0</v>
      </c>
    </row>
    <row r="21" spans="1:7" ht="15.75">
      <c r="A21" s="82">
        <v>3</v>
      </c>
      <c r="B21" s="64">
        <f aca="true" t="shared" si="5" ref="B21:G21">+B14+B7</f>
        <v>626</v>
      </c>
      <c r="C21" s="64">
        <f t="shared" si="5"/>
        <v>515</v>
      </c>
      <c r="D21" s="64">
        <f t="shared" si="5"/>
        <v>456</v>
      </c>
      <c r="E21" s="64">
        <f t="shared" si="5"/>
        <v>441</v>
      </c>
      <c r="F21" s="64">
        <f t="shared" si="5"/>
        <v>474</v>
      </c>
      <c r="G21" s="64">
        <f t="shared" si="5"/>
        <v>456</v>
      </c>
    </row>
    <row r="22" spans="1:7" ht="15.75">
      <c r="A22" s="82" t="s">
        <v>40</v>
      </c>
      <c r="B22" s="39">
        <f aca="true" t="shared" si="6" ref="B22:G22">SUM(B18:B21)</f>
        <v>7731</v>
      </c>
      <c r="C22" s="39">
        <f t="shared" si="6"/>
        <v>7211</v>
      </c>
      <c r="D22" s="39">
        <f t="shared" si="6"/>
        <v>7446</v>
      </c>
      <c r="E22" s="39">
        <f t="shared" si="6"/>
        <v>8118</v>
      </c>
      <c r="F22" s="39">
        <f t="shared" si="6"/>
        <v>7489</v>
      </c>
      <c r="G22" s="39">
        <f t="shared" si="6"/>
        <v>7068</v>
      </c>
    </row>
    <row r="23" spans="1:7" s="48" customFormat="1" ht="15.75">
      <c r="A23" s="47"/>
      <c r="B23" s="47"/>
      <c r="C23" s="47"/>
      <c r="D23" s="47"/>
      <c r="E23" s="47"/>
      <c r="F23" s="47"/>
      <c r="G23" s="47"/>
    </row>
    <row r="24" ht="15.75">
      <c r="A24" t="s">
        <v>41</v>
      </c>
    </row>
  </sheetData>
  <sheetProtection/>
  <mergeCells count="4">
    <mergeCell ref="A1:G1"/>
    <mergeCell ref="A2:G2"/>
    <mergeCell ref="A9:G9"/>
    <mergeCell ref="A16:G1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SheetLayoutView="130" zoomScalePageLayoutView="0" workbookViewId="0" topLeftCell="A16">
      <selection activeCell="A1" sqref="A1:G1"/>
    </sheetView>
  </sheetViews>
  <sheetFormatPr defaultColWidth="9.00390625" defaultRowHeight="15.75"/>
  <cols>
    <col min="1" max="1" width="17.75390625" style="0" customWidth="1"/>
    <col min="2" max="3" width="10.625" style="0" customWidth="1"/>
    <col min="4" max="4" width="9.75390625" style="0" customWidth="1"/>
    <col min="5" max="5" width="10.625" style="0" customWidth="1"/>
    <col min="6" max="6" width="10.00390625" style="0" customWidth="1"/>
    <col min="7" max="7" width="10.625" style="0" customWidth="1"/>
  </cols>
  <sheetData>
    <row r="1" spans="1:7" ht="48" customHeight="1" thickBot="1">
      <c r="A1" s="447" t="s">
        <v>98</v>
      </c>
      <c r="B1" s="447"/>
      <c r="C1" s="447"/>
      <c r="D1" s="447"/>
      <c r="E1" s="447"/>
      <c r="F1" s="447"/>
      <c r="G1" s="447"/>
    </row>
    <row r="2" spans="1:7" ht="31.5" customHeight="1">
      <c r="A2" s="461" t="s">
        <v>36</v>
      </c>
      <c r="B2" s="459" t="s">
        <v>43</v>
      </c>
      <c r="C2" s="445" t="s">
        <v>38</v>
      </c>
      <c r="D2" s="446"/>
      <c r="E2" s="445" t="s">
        <v>39</v>
      </c>
      <c r="F2" s="446"/>
      <c r="G2" s="466" t="s">
        <v>40</v>
      </c>
    </row>
    <row r="3" spans="1:7" ht="15.75" customHeight="1">
      <c r="A3" s="464"/>
      <c r="B3" s="465"/>
      <c r="C3" s="5" t="s">
        <v>0</v>
      </c>
      <c r="D3" s="5" t="s">
        <v>1</v>
      </c>
      <c r="E3" s="5" t="s">
        <v>0</v>
      </c>
      <c r="F3" s="5" t="s">
        <v>1</v>
      </c>
      <c r="G3" s="467"/>
    </row>
    <row r="4" spans="1:7" ht="15.75">
      <c r="A4" s="97" t="s">
        <v>116</v>
      </c>
      <c r="B4" s="2">
        <v>1</v>
      </c>
      <c r="C4" s="3">
        <v>147</v>
      </c>
      <c r="D4" s="3">
        <v>0</v>
      </c>
      <c r="E4" s="3">
        <v>0</v>
      </c>
      <c r="F4" s="3">
        <v>0</v>
      </c>
      <c r="G4" s="49">
        <f>SUM(C4:F4)</f>
        <v>147</v>
      </c>
    </row>
    <row r="5" spans="1:7" ht="15.75">
      <c r="A5" s="98"/>
      <c r="B5" s="2">
        <v>2</v>
      </c>
      <c r="C5" s="3">
        <v>134</v>
      </c>
      <c r="D5" s="3">
        <v>0</v>
      </c>
      <c r="E5" s="3">
        <v>0</v>
      </c>
      <c r="F5" s="3">
        <v>0</v>
      </c>
      <c r="G5" s="49">
        <f aca="true" t="shared" si="0" ref="G5:G33">SUM(C5:F5)</f>
        <v>134</v>
      </c>
    </row>
    <row r="6" spans="1:7" ht="15.75">
      <c r="A6" s="98"/>
      <c r="B6" s="2" t="s">
        <v>3</v>
      </c>
      <c r="C6" s="3">
        <v>1</v>
      </c>
      <c r="D6" s="3">
        <v>0</v>
      </c>
      <c r="E6" s="3">
        <v>0</v>
      </c>
      <c r="F6" s="3">
        <v>0</v>
      </c>
      <c r="G6" s="49">
        <f t="shared" si="0"/>
        <v>1</v>
      </c>
    </row>
    <row r="7" spans="1:7" ht="15.75">
      <c r="A7" s="98"/>
      <c r="B7" s="2">
        <v>3</v>
      </c>
      <c r="C7" s="3">
        <v>7</v>
      </c>
      <c r="D7" s="3">
        <v>1</v>
      </c>
      <c r="E7" s="3">
        <v>3</v>
      </c>
      <c r="F7" s="3">
        <v>0</v>
      </c>
      <c r="G7" s="49">
        <f t="shared" si="0"/>
        <v>11</v>
      </c>
    </row>
    <row r="8" spans="1:7" ht="15.75">
      <c r="A8" s="450" t="s">
        <v>185</v>
      </c>
      <c r="B8" s="451"/>
      <c r="C8" s="39">
        <f>SUM(C4:C7)</f>
        <v>289</v>
      </c>
      <c r="D8" s="39">
        <f>SUM(D4:D7)</f>
        <v>1</v>
      </c>
      <c r="E8" s="39">
        <f>SUM(E4:E7)</f>
        <v>3</v>
      </c>
      <c r="F8" s="39">
        <f>SUM(F4:F7)</f>
        <v>0</v>
      </c>
      <c r="G8" s="49">
        <f t="shared" si="0"/>
        <v>293</v>
      </c>
    </row>
    <row r="9" spans="1:7" ht="15.75">
      <c r="A9" s="99" t="s">
        <v>117</v>
      </c>
      <c r="B9" s="2">
        <v>1</v>
      </c>
      <c r="C9" s="3">
        <v>245</v>
      </c>
      <c r="D9" s="3">
        <v>0</v>
      </c>
      <c r="E9" s="3">
        <v>129</v>
      </c>
      <c r="F9" s="3">
        <v>1</v>
      </c>
      <c r="G9" s="49">
        <f t="shared" si="0"/>
        <v>375</v>
      </c>
    </row>
    <row r="10" spans="1:7" ht="15.75">
      <c r="A10" s="98"/>
      <c r="B10" s="2">
        <v>2</v>
      </c>
      <c r="C10" s="3">
        <v>229</v>
      </c>
      <c r="D10" s="3">
        <v>0</v>
      </c>
      <c r="E10" s="3">
        <v>143</v>
      </c>
      <c r="F10" s="3">
        <v>1</v>
      </c>
      <c r="G10" s="49">
        <f t="shared" si="0"/>
        <v>373</v>
      </c>
    </row>
    <row r="11" spans="1:7" ht="15.75">
      <c r="A11" s="98"/>
      <c r="B11" s="2" t="s">
        <v>3</v>
      </c>
      <c r="C11" s="3">
        <v>0</v>
      </c>
      <c r="D11" s="3">
        <v>0</v>
      </c>
      <c r="E11" s="3">
        <v>0</v>
      </c>
      <c r="F11" s="3">
        <v>0</v>
      </c>
      <c r="G11" s="49">
        <f t="shared" si="0"/>
        <v>0</v>
      </c>
    </row>
    <row r="12" spans="1:7" ht="15.75">
      <c r="A12" s="98"/>
      <c r="B12" s="2">
        <v>3</v>
      </c>
      <c r="C12" s="3">
        <v>7</v>
      </c>
      <c r="D12" s="3">
        <v>0</v>
      </c>
      <c r="E12" s="3">
        <v>4</v>
      </c>
      <c r="F12" s="3">
        <v>0</v>
      </c>
      <c r="G12" s="49">
        <f t="shared" si="0"/>
        <v>11</v>
      </c>
    </row>
    <row r="13" spans="1:7" ht="15.75">
      <c r="A13" s="450" t="s">
        <v>184</v>
      </c>
      <c r="B13" s="451"/>
      <c r="C13" s="39">
        <f>SUM(C9:C12)</f>
        <v>481</v>
      </c>
      <c r="D13" s="39">
        <f>SUM(D9:D12)</f>
        <v>0</v>
      </c>
      <c r="E13" s="39">
        <f>SUM(E9:E12)</f>
        <v>276</v>
      </c>
      <c r="F13" s="39">
        <f>SUM(F9:F12)</f>
        <v>2</v>
      </c>
      <c r="G13" s="49">
        <f t="shared" si="0"/>
        <v>759</v>
      </c>
    </row>
    <row r="14" spans="1:7" ht="15.75">
      <c r="A14" s="99" t="s">
        <v>118</v>
      </c>
      <c r="B14" s="2">
        <v>1</v>
      </c>
      <c r="C14" s="3">
        <v>114</v>
      </c>
      <c r="D14" s="3">
        <v>0</v>
      </c>
      <c r="E14" s="3">
        <v>161</v>
      </c>
      <c r="F14" s="3">
        <v>0</v>
      </c>
      <c r="G14" s="49">
        <f t="shared" si="0"/>
        <v>275</v>
      </c>
    </row>
    <row r="15" spans="1:7" ht="15.75">
      <c r="A15" s="98"/>
      <c r="B15" s="2">
        <v>2</v>
      </c>
      <c r="C15" s="3">
        <v>97</v>
      </c>
      <c r="D15" s="3">
        <v>0</v>
      </c>
      <c r="E15" s="3">
        <v>249</v>
      </c>
      <c r="F15" s="3">
        <v>3</v>
      </c>
      <c r="G15" s="49">
        <f t="shared" si="0"/>
        <v>349</v>
      </c>
    </row>
    <row r="16" spans="1:7" ht="15.75">
      <c r="A16" s="98"/>
      <c r="B16" s="2" t="s">
        <v>3</v>
      </c>
      <c r="C16" s="3">
        <v>0</v>
      </c>
      <c r="D16" s="3">
        <v>0</v>
      </c>
      <c r="E16" s="3">
        <v>0</v>
      </c>
      <c r="F16" s="3">
        <v>0</v>
      </c>
      <c r="G16" s="49">
        <f t="shared" si="0"/>
        <v>0</v>
      </c>
    </row>
    <row r="17" spans="1:7" ht="15.75">
      <c r="A17" s="98"/>
      <c r="B17" s="2">
        <v>3</v>
      </c>
      <c r="C17" s="3">
        <v>13</v>
      </c>
      <c r="D17" s="3">
        <v>0</v>
      </c>
      <c r="E17" s="3">
        <v>16</v>
      </c>
      <c r="F17" s="3">
        <v>3</v>
      </c>
      <c r="G17" s="49">
        <f t="shared" si="0"/>
        <v>32</v>
      </c>
    </row>
    <row r="18" spans="1:7" ht="15.75">
      <c r="A18" s="450" t="s">
        <v>187</v>
      </c>
      <c r="B18" s="451"/>
      <c r="C18" s="39">
        <f>SUM(C14:C17)</f>
        <v>224</v>
      </c>
      <c r="D18" s="39">
        <f>SUM(D14:D17)</f>
        <v>0</v>
      </c>
      <c r="E18" s="39">
        <f>SUM(E14:E17)</f>
        <v>426</v>
      </c>
      <c r="F18" s="39">
        <f>SUM(F14:F17)</f>
        <v>6</v>
      </c>
      <c r="G18" s="49">
        <f t="shared" si="0"/>
        <v>656</v>
      </c>
    </row>
    <row r="19" spans="1:7" ht="15.75">
      <c r="A19" s="99" t="s">
        <v>119</v>
      </c>
      <c r="B19" s="2">
        <v>1</v>
      </c>
      <c r="C19" s="3">
        <v>30</v>
      </c>
      <c r="D19" s="3">
        <v>3</v>
      </c>
      <c r="E19" s="3">
        <v>30</v>
      </c>
      <c r="F19" s="3">
        <v>0</v>
      </c>
      <c r="G19" s="49">
        <f t="shared" si="0"/>
        <v>63</v>
      </c>
    </row>
    <row r="20" spans="1:7" ht="15.75">
      <c r="A20" s="98"/>
      <c r="B20" s="2">
        <v>2</v>
      </c>
      <c r="C20" s="3">
        <v>11</v>
      </c>
      <c r="D20" s="3">
        <v>0</v>
      </c>
      <c r="E20" s="3">
        <v>19</v>
      </c>
      <c r="F20" s="3">
        <v>0</v>
      </c>
      <c r="G20" s="49">
        <f t="shared" si="0"/>
        <v>30</v>
      </c>
    </row>
    <row r="21" spans="1:7" ht="15.75">
      <c r="A21" s="98"/>
      <c r="B21" s="2" t="s">
        <v>3</v>
      </c>
      <c r="C21" s="3">
        <v>2</v>
      </c>
      <c r="D21" s="3">
        <v>0</v>
      </c>
      <c r="E21" s="3">
        <v>0</v>
      </c>
      <c r="F21" s="3">
        <v>0</v>
      </c>
      <c r="G21" s="49">
        <f t="shared" si="0"/>
        <v>2</v>
      </c>
    </row>
    <row r="22" spans="1:7" ht="15.75">
      <c r="A22" s="98"/>
      <c r="B22" s="2">
        <v>3</v>
      </c>
      <c r="C22" s="3">
        <v>1</v>
      </c>
      <c r="D22" s="3">
        <v>0</v>
      </c>
      <c r="E22" s="3">
        <v>1</v>
      </c>
      <c r="F22" s="3">
        <v>0</v>
      </c>
      <c r="G22" s="49">
        <f t="shared" si="0"/>
        <v>2</v>
      </c>
    </row>
    <row r="23" spans="1:7" ht="15.75">
      <c r="A23" s="450" t="s">
        <v>188</v>
      </c>
      <c r="B23" s="451"/>
      <c r="C23" s="39">
        <f>SUM(C19:C22)</f>
        <v>44</v>
      </c>
      <c r="D23" s="39">
        <f>SUM(D19:D22)</f>
        <v>3</v>
      </c>
      <c r="E23" s="39">
        <f>SUM(E19:E22)</f>
        <v>50</v>
      </c>
      <c r="F23" s="39">
        <f>SUM(F19:F22)</f>
        <v>0</v>
      </c>
      <c r="G23" s="49">
        <f t="shared" si="0"/>
        <v>97</v>
      </c>
    </row>
    <row r="24" spans="1:7" ht="15.75">
      <c r="A24" s="99" t="s">
        <v>120</v>
      </c>
      <c r="B24" s="2">
        <v>1</v>
      </c>
      <c r="C24" s="3">
        <v>304</v>
      </c>
      <c r="D24" s="3">
        <v>2</v>
      </c>
      <c r="E24" s="3">
        <v>108</v>
      </c>
      <c r="F24" s="3">
        <v>0</v>
      </c>
      <c r="G24" s="49">
        <f t="shared" si="0"/>
        <v>414</v>
      </c>
    </row>
    <row r="25" spans="1:7" ht="15.75">
      <c r="A25" s="98"/>
      <c r="B25" s="2">
        <v>2</v>
      </c>
      <c r="C25" s="3">
        <v>241</v>
      </c>
      <c r="D25" s="3">
        <v>0</v>
      </c>
      <c r="E25" s="3">
        <v>30</v>
      </c>
      <c r="F25" s="3">
        <v>0</v>
      </c>
      <c r="G25" s="49">
        <f t="shared" si="0"/>
        <v>271</v>
      </c>
    </row>
    <row r="26" spans="1:7" ht="15.75">
      <c r="A26" s="98"/>
      <c r="B26" s="2" t="s">
        <v>3</v>
      </c>
      <c r="C26" s="3">
        <v>1</v>
      </c>
      <c r="D26" s="3">
        <v>0</v>
      </c>
      <c r="E26" s="3">
        <v>0</v>
      </c>
      <c r="F26" s="3">
        <v>0</v>
      </c>
      <c r="G26" s="49">
        <f t="shared" si="0"/>
        <v>1</v>
      </c>
    </row>
    <row r="27" spans="1:7" ht="15.75">
      <c r="A27" s="98"/>
      <c r="B27" s="2">
        <v>3</v>
      </c>
      <c r="C27" s="3">
        <v>7</v>
      </c>
      <c r="D27" s="3">
        <v>0</v>
      </c>
      <c r="E27" s="3">
        <v>4</v>
      </c>
      <c r="F27" s="3">
        <v>0</v>
      </c>
      <c r="G27" s="49">
        <f t="shared" si="0"/>
        <v>11</v>
      </c>
    </row>
    <row r="28" spans="1:7" ht="15.75">
      <c r="A28" s="450" t="s">
        <v>105</v>
      </c>
      <c r="B28" s="451"/>
      <c r="C28" s="39">
        <f>SUM(C24:C27)</f>
        <v>553</v>
      </c>
      <c r="D28" s="39">
        <f>SUM(D24:D27)</f>
        <v>2</v>
      </c>
      <c r="E28" s="39">
        <f>SUM(E24:E27)</f>
        <v>142</v>
      </c>
      <c r="F28" s="39">
        <f>SUM(F24:F27)</f>
        <v>0</v>
      </c>
      <c r="G28" s="49">
        <f t="shared" si="0"/>
        <v>697</v>
      </c>
    </row>
    <row r="29" spans="1:7" ht="15.75">
      <c r="A29" s="84" t="s">
        <v>106</v>
      </c>
      <c r="B29" s="82">
        <v>1</v>
      </c>
      <c r="C29" s="39">
        <f aca="true" t="shared" si="1" ref="C29:F32">+C4+C9+C14+C19+C24</f>
        <v>840</v>
      </c>
      <c r="D29" s="39">
        <f t="shared" si="1"/>
        <v>5</v>
      </c>
      <c r="E29" s="39">
        <f t="shared" si="1"/>
        <v>428</v>
      </c>
      <c r="F29" s="39">
        <f t="shared" si="1"/>
        <v>1</v>
      </c>
      <c r="G29" s="49">
        <f t="shared" si="0"/>
        <v>1274</v>
      </c>
    </row>
    <row r="30" spans="1:7" ht="15.75">
      <c r="A30" s="85"/>
      <c r="B30" s="82">
        <v>2</v>
      </c>
      <c r="C30" s="39">
        <f t="shared" si="1"/>
        <v>712</v>
      </c>
      <c r="D30" s="39">
        <f t="shared" si="1"/>
        <v>0</v>
      </c>
      <c r="E30" s="39">
        <f t="shared" si="1"/>
        <v>441</v>
      </c>
      <c r="F30" s="39">
        <f t="shared" si="1"/>
        <v>4</v>
      </c>
      <c r="G30" s="49">
        <f t="shared" si="0"/>
        <v>1157</v>
      </c>
    </row>
    <row r="31" spans="1:7" ht="15.75">
      <c r="A31" s="85"/>
      <c r="B31" s="82" t="s">
        <v>3</v>
      </c>
      <c r="C31" s="39">
        <f t="shared" si="1"/>
        <v>4</v>
      </c>
      <c r="D31" s="39">
        <f t="shared" si="1"/>
        <v>0</v>
      </c>
      <c r="E31" s="39">
        <f t="shared" si="1"/>
        <v>0</v>
      </c>
      <c r="F31" s="39">
        <f t="shared" si="1"/>
        <v>0</v>
      </c>
      <c r="G31" s="49">
        <f t="shared" si="0"/>
        <v>4</v>
      </c>
    </row>
    <row r="32" spans="1:7" ht="15.75">
      <c r="A32" s="86"/>
      <c r="B32" s="82">
        <v>3</v>
      </c>
      <c r="C32" s="39">
        <f t="shared" si="1"/>
        <v>35</v>
      </c>
      <c r="D32" s="39">
        <f t="shared" si="1"/>
        <v>1</v>
      </c>
      <c r="E32" s="39">
        <f t="shared" si="1"/>
        <v>28</v>
      </c>
      <c r="F32" s="39">
        <f t="shared" si="1"/>
        <v>3</v>
      </c>
      <c r="G32" s="49">
        <f t="shared" si="0"/>
        <v>67</v>
      </c>
    </row>
    <row r="33" spans="1:7" ht="15.75">
      <c r="A33" s="450" t="s">
        <v>189</v>
      </c>
      <c r="B33" s="451"/>
      <c r="C33" s="39">
        <f>+C8+C13+C18+C23+C28</f>
        <v>1591</v>
      </c>
      <c r="D33" s="39">
        <f>+D8+D13+D18+D23+D28</f>
        <v>6</v>
      </c>
      <c r="E33" s="39">
        <f>+E8+E13+E18+E23+E28</f>
        <v>897</v>
      </c>
      <c r="F33" s="39">
        <f>+F8+F13+F18+F23+F28</f>
        <v>8</v>
      </c>
      <c r="G33" s="49">
        <f t="shared" si="0"/>
        <v>2502</v>
      </c>
    </row>
    <row r="34" ht="15.75">
      <c r="A34" s="14"/>
    </row>
    <row r="35" ht="15.75">
      <c r="A35" t="s">
        <v>41</v>
      </c>
    </row>
  </sheetData>
  <sheetProtection/>
  <mergeCells count="12">
    <mergeCell ref="E2:F2"/>
    <mergeCell ref="A18:B18"/>
    <mergeCell ref="A1:G1"/>
    <mergeCell ref="A2:A3"/>
    <mergeCell ref="B2:B3"/>
    <mergeCell ref="G2:G3"/>
    <mergeCell ref="A8:B8"/>
    <mergeCell ref="A13:B13"/>
    <mergeCell ref="A23:B23"/>
    <mergeCell ref="A28:B28"/>
    <mergeCell ref="A33:B33"/>
    <mergeCell ref="C2:D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4"/>
  <sheetViews>
    <sheetView zoomScaleSheetLayoutView="100" zoomScalePageLayoutView="0" workbookViewId="0" topLeftCell="A82">
      <selection activeCell="A1" sqref="A1:J1"/>
    </sheetView>
  </sheetViews>
  <sheetFormatPr defaultColWidth="9.00390625" defaultRowHeight="15.75"/>
  <cols>
    <col min="1" max="1" width="27.625" style="0" customWidth="1"/>
    <col min="2" max="3" width="10.625" style="0" customWidth="1"/>
    <col min="4" max="4" width="9.50390625" style="0" customWidth="1"/>
    <col min="5" max="6" width="9.75390625" style="0" customWidth="1"/>
    <col min="7" max="10" width="11.125" style="0" customWidth="1"/>
  </cols>
  <sheetData>
    <row r="1" spans="1:10" ht="46.5" customHeight="1">
      <c r="A1" s="471" t="s">
        <v>74</v>
      </c>
      <c r="B1" s="471"/>
      <c r="C1" s="471"/>
      <c r="D1" s="471"/>
      <c r="E1" s="471"/>
      <c r="F1" s="471"/>
      <c r="G1" s="471"/>
      <c r="H1" s="471"/>
      <c r="I1" s="471"/>
      <c r="J1" s="471"/>
    </row>
    <row r="2" spans="1:11" ht="16.5" thickBot="1">
      <c r="A2" s="468" t="s">
        <v>38</v>
      </c>
      <c r="B2" s="468"/>
      <c r="C2" s="468"/>
      <c r="D2" s="468"/>
      <c r="E2" s="468"/>
      <c r="F2" s="468"/>
      <c r="G2" s="468"/>
      <c r="H2" s="468"/>
      <c r="I2" s="468"/>
      <c r="J2" s="468"/>
      <c r="K2" s="13"/>
    </row>
    <row r="3" spans="1:10" ht="30.75" thickBot="1">
      <c r="A3" s="53" t="s">
        <v>53</v>
      </c>
      <c r="B3" s="60" t="s">
        <v>44</v>
      </c>
      <c r="C3" s="60" t="s">
        <v>45</v>
      </c>
      <c r="D3" s="61" t="s">
        <v>46</v>
      </c>
      <c r="E3" s="61" t="s">
        <v>47</v>
      </c>
      <c r="F3" s="61" t="s">
        <v>48</v>
      </c>
      <c r="G3" s="62" t="s">
        <v>49</v>
      </c>
      <c r="H3" s="62" t="s">
        <v>50</v>
      </c>
      <c r="I3" s="62" t="s">
        <v>51</v>
      </c>
      <c r="J3" s="63" t="s">
        <v>52</v>
      </c>
    </row>
    <row r="4" spans="1:10" ht="30">
      <c r="A4" s="58" t="s">
        <v>5</v>
      </c>
      <c r="B4" s="59">
        <v>242</v>
      </c>
      <c r="C4" s="59">
        <v>1314</v>
      </c>
      <c r="D4" s="59">
        <v>1314</v>
      </c>
      <c r="E4" s="59">
        <v>628</v>
      </c>
      <c r="F4" s="59">
        <v>311</v>
      </c>
      <c r="G4" s="88">
        <f>_xlfn.IFERROR(C4/B4,0)</f>
        <v>5.429752066115703</v>
      </c>
      <c r="H4" s="88">
        <f>_xlfn.IFERROR(E4/D4,0)</f>
        <v>0.4779299847792998</v>
      </c>
      <c r="I4" s="88">
        <f>_xlfn.IFERROR(F4/E4,0)</f>
        <v>0.49522292993630573</v>
      </c>
      <c r="J4" s="88">
        <f>_xlfn.IFERROR(F4/B4,0)</f>
        <v>1.2851239669421488</v>
      </c>
    </row>
    <row r="5" spans="1:10" ht="15.75">
      <c r="A5" s="24" t="s">
        <v>6</v>
      </c>
      <c r="B5" s="25">
        <f>170+60</f>
        <v>230</v>
      </c>
      <c r="C5" s="25">
        <f>458+41</f>
        <v>499</v>
      </c>
      <c r="D5" s="25">
        <f>412+34</f>
        <v>446</v>
      </c>
      <c r="E5" s="25">
        <f>326+34</f>
        <v>360</v>
      </c>
      <c r="F5" s="25">
        <f>129+30</f>
        <v>159</v>
      </c>
      <c r="G5" s="89">
        <f>_xlfn.IFERROR(C5/B5,0)</f>
        <v>2.1695652173913045</v>
      </c>
      <c r="H5" s="89">
        <f aca="true" t="shared" si="0" ref="H5:H27">_xlfn.IFERROR(E5/D5,0)</f>
        <v>0.8071748878923767</v>
      </c>
      <c r="I5" s="89">
        <f aca="true" t="shared" si="1" ref="I5:I27">_xlfn.IFERROR(F5/E5,0)</f>
        <v>0.44166666666666665</v>
      </c>
      <c r="J5" s="89">
        <f aca="true" t="shared" si="2" ref="J5:J27">_xlfn.IFERROR(F5/B5,0)</f>
        <v>0.691304347826087</v>
      </c>
    </row>
    <row r="6" spans="1:10" ht="15.75">
      <c r="A6" s="24" t="s">
        <v>7</v>
      </c>
      <c r="B6" s="25"/>
      <c r="C6" s="25"/>
      <c r="D6" s="25"/>
      <c r="E6" s="25"/>
      <c r="F6" s="25"/>
      <c r="G6" s="89">
        <f aca="true" t="shared" si="3" ref="G6:G31">_xlfn.IFERROR(C6/B6,0)</f>
        <v>0</v>
      </c>
      <c r="H6" s="89">
        <f t="shared" si="0"/>
        <v>0</v>
      </c>
      <c r="I6" s="89">
        <f t="shared" si="1"/>
        <v>0</v>
      </c>
      <c r="J6" s="89">
        <f t="shared" si="2"/>
        <v>0</v>
      </c>
    </row>
    <row r="7" spans="1:10" ht="15.75">
      <c r="A7" s="24" t="s">
        <v>8</v>
      </c>
      <c r="B7" s="25">
        <f>130+180</f>
        <v>310</v>
      </c>
      <c r="C7" s="25">
        <f>811+405</f>
        <v>1216</v>
      </c>
      <c r="D7" s="25">
        <f>723+405</f>
        <v>1128</v>
      </c>
      <c r="E7" s="25">
        <f>201+140</f>
        <v>341</v>
      </c>
      <c r="F7" s="25">
        <f>90+76</f>
        <v>166</v>
      </c>
      <c r="G7" s="89">
        <f t="shared" si="3"/>
        <v>3.92258064516129</v>
      </c>
      <c r="H7" s="89">
        <f t="shared" si="0"/>
        <v>0.30230496453900707</v>
      </c>
      <c r="I7" s="89">
        <f t="shared" si="1"/>
        <v>0.4868035190615836</v>
      </c>
      <c r="J7" s="89">
        <f t="shared" si="2"/>
        <v>0.535483870967742</v>
      </c>
    </row>
    <row r="8" spans="1:10" ht="15.75">
      <c r="A8" s="24" t="s">
        <v>9</v>
      </c>
      <c r="B8" s="25"/>
      <c r="C8" s="25"/>
      <c r="D8" s="25"/>
      <c r="E8" s="25"/>
      <c r="F8" s="25"/>
      <c r="G8" s="89">
        <f t="shared" si="3"/>
        <v>0</v>
      </c>
      <c r="H8" s="89">
        <f t="shared" si="0"/>
        <v>0</v>
      </c>
      <c r="I8" s="89">
        <f t="shared" si="1"/>
        <v>0</v>
      </c>
      <c r="J8" s="89">
        <f t="shared" si="2"/>
        <v>0</v>
      </c>
    </row>
    <row r="9" spans="1:10" ht="15.75">
      <c r="A9" s="24" t="s">
        <v>10</v>
      </c>
      <c r="B9" s="25"/>
      <c r="C9" s="25"/>
      <c r="D9" s="25"/>
      <c r="E9" s="25"/>
      <c r="F9" s="25"/>
      <c r="G9" s="89">
        <f t="shared" si="3"/>
        <v>0</v>
      </c>
      <c r="H9" s="89">
        <f t="shared" si="0"/>
        <v>0</v>
      </c>
      <c r="I9" s="89">
        <f t="shared" si="1"/>
        <v>0</v>
      </c>
      <c r="J9" s="89">
        <f t="shared" si="2"/>
        <v>0</v>
      </c>
    </row>
    <row r="10" spans="1:10" ht="15.75">
      <c r="A10" s="24" t="s">
        <v>11</v>
      </c>
      <c r="B10" s="25">
        <v>150</v>
      </c>
      <c r="C10" s="25">
        <v>856</v>
      </c>
      <c r="D10" s="25">
        <v>771</v>
      </c>
      <c r="E10" s="25">
        <v>290</v>
      </c>
      <c r="F10" s="25">
        <v>142</v>
      </c>
      <c r="G10" s="89">
        <f t="shared" si="3"/>
        <v>5.706666666666667</v>
      </c>
      <c r="H10" s="89">
        <f t="shared" si="0"/>
        <v>0.3761348897535668</v>
      </c>
      <c r="I10" s="89">
        <f t="shared" si="1"/>
        <v>0.4896551724137931</v>
      </c>
      <c r="J10" s="89">
        <f t="shared" si="2"/>
        <v>0.9466666666666667</v>
      </c>
    </row>
    <row r="11" spans="1:10" ht="15.75">
      <c r="A11" s="24" t="s">
        <v>12</v>
      </c>
      <c r="B11" s="25"/>
      <c r="C11" s="25"/>
      <c r="D11" s="25"/>
      <c r="E11" s="25"/>
      <c r="F11" s="25"/>
      <c r="G11" s="89">
        <f t="shared" si="3"/>
        <v>0</v>
      </c>
      <c r="H11" s="89">
        <f t="shared" si="0"/>
        <v>0</v>
      </c>
      <c r="I11" s="89">
        <f t="shared" si="1"/>
        <v>0</v>
      </c>
      <c r="J11" s="89">
        <f t="shared" si="2"/>
        <v>0</v>
      </c>
    </row>
    <row r="12" spans="1:10" ht="15.75">
      <c r="A12" s="24" t="s">
        <v>13</v>
      </c>
      <c r="B12" s="26"/>
      <c r="C12" s="26"/>
      <c r="D12" s="26"/>
      <c r="E12" s="26"/>
      <c r="F12" s="26"/>
      <c r="G12" s="89">
        <f t="shared" si="3"/>
        <v>0</v>
      </c>
      <c r="H12" s="89">
        <f t="shared" si="0"/>
        <v>0</v>
      </c>
      <c r="I12" s="89">
        <f t="shared" si="1"/>
        <v>0</v>
      </c>
      <c r="J12" s="89">
        <f t="shared" si="2"/>
        <v>0</v>
      </c>
    </row>
    <row r="13" spans="1:10" ht="15.75">
      <c r="A13" s="24" t="s">
        <v>14</v>
      </c>
      <c r="B13" s="27"/>
      <c r="C13" s="27"/>
      <c r="D13" s="26"/>
      <c r="E13" s="26"/>
      <c r="F13" s="26"/>
      <c r="G13" s="89">
        <f t="shared" si="3"/>
        <v>0</v>
      </c>
      <c r="H13" s="89">
        <f t="shared" si="0"/>
        <v>0</v>
      </c>
      <c r="I13" s="89">
        <f t="shared" si="1"/>
        <v>0</v>
      </c>
      <c r="J13" s="89">
        <f t="shared" si="2"/>
        <v>0</v>
      </c>
    </row>
    <row r="14" spans="1:10" ht="15.75">
      <c r="A14" s="24" t="s">
        <v>15</v>
      </c>
      <c r="B14" s="25"/>
      <c r="C14" s="25"/>
      <c r="D14" s="25"/>
      <c r="E14" s="25"/>
      <c r="F14" s="25"/>
      <c r="G14" s="89">
        <f t="shared" si="3"/>
        <v>0</v>
      </c>
      <c r="H14" s="89">
        <f t="shared" si="0"/>
        <v>0</v>
      </c>
      <c r="I14" s="89">
        <f t="shared" si="1"/>
        <v>0</v>
      </c>
      <c r="J14" s="89">
        <f t="shared" si="2"/>
        <v>0</v>
      </c>
    </row>
    <row r="15" spans="1:10" ht="30">
      <c r="A15" s="24" t="s">
        <v>16</v>
      </c>
      <c r="B15" s="25"/>
      <c r="C15" s="25"/>
      <c r="D15" s="25"/>
      <c r="E15" s="25"/>
      <c r="F15" s="25"/>
      <c r="G15" s="89">
        <f t="shared" si="3"/>
        <v>0</v>
      </c>
      <c r="H15" s="89">
        <f t="shared" si="0"/>
        <v>0</v>
      </c>
      <c r="I15" s="89">
        <f t="shared" si="1"/>
        <v>0</v>
      </c>
      <c r="J15" s="89">
        <f t="shared" si="2"/>
        <v>0</v>
      </c>
    </row>
    <row r="16" spans="1:10" ht="15.75">
      <c r="A16" s="24" t="s">
        <v>17</v>
      </c>
      <c r="B16" s="25"/>
      <c r="C16" s="25"/>
      <c r="D16" s="25"/>
      <c r="E16" s="25"/>
      <c r="F16" s="25"/>
      <c r="G16" s="89">
        <f t="shared" si="3"/>
        <v>0</v>
      </c>
      <c r="H16" s="89">
        <f t="shared" si="0"/>
        <v>0</v>
      </c>
      <c r="I16" s="89">
        <f t="shared" si="1"/>
        <v>0</v>
      </c>
      <c r="J16" s="89">
        <f t="shared" si="2"/>
        <v>0</v>
      </c>
    </row>
    <row r="17" spans="1:10" ht="15.75">
      <c r="A17" s="24" t="s">
        <v>18</v>
      </c>
      <c r="B17" s="25"/>
      <c r="C17" s="25"/>
      <c r="D17" s="25"/>
      <c r="E17" s="25"/>
      <c r="F17" s="25"/>
      <c r="G17" s="89">
        <f t="shared" si="3"/>
        <v>0</v>
      </c>
      <c r="H17" s="89">
        <f t="shared" si="0"/>
        <v>0</v>
      </c>
      <c r="I17" s="89">
        <f t="shared" si="1"/>
        <v>0</v>
      </c>
      <c r="J17" s="89">
        <f t="shared" si="2"/>
        <v>0</v>
      </c>
    </row>
    <row r="18" spans="1:10" ht="15.75">
      <c r="A18" s="24" t="s">
        <v>19</v>
      </c>
      <c r="B18" s="25"/>
      <c r="C18" s="25"/>
      <c r="D18" s="25"/>
      <c r="E18" s="25"/>
      <c r="F18" s="25"/>
      <c r="G18" s="89">
        <f t="shared" si="3"/>
        <v>0</v>
      </c>
      <c r="H18" s="89">
        <f t="shared" si="0"/>
        <v>0</v>
      </c>
      <c r="I18" s="89">
        <f t="shared" si="1"/>
        <v>0</v>
      </c>
      <c r="J18" s="89">
        <f t="shared" si="2"/>
        <v>0</v>
      </c>
    </row>
    <row r="19" spans="1:10" ht="15.75">
      <c r="A19" s="24" t="s">
        <v>20</v>
      </c>
      <c r="B19" s="25"/>
      <c r="C19" s="25"/>
      <c r="D19" s="25"/>
      <c r="E19" s="25"/>
      <c r="F19" s="25"/>
      <c r="G19" s="89">
        <f t="shared" si="3"/>
        <v>0</v>
      </c>
      <c r="H19" s="89">
        <f t="shared" si="0"/>
        <v>0</v>
      </c>
      <c r="I19" s="89">
        <f t="shared" si="1"/>
        <v>0</v>
      </c>
      <c r="J19" s="89">
        <f t="shared" si="2"/>
        <v>0</v>
      </c>
    </row>
    <row r="20" spans="1:10" ht="15.75">
      <c r="A20" s="24" t="s">
        <v>21</v>
      </c>
      <c r="B20" s="25"/>
      <c r="C20" s="25"/>
      <c r="D20" s="25"/>
      <c r="E20" s="25"/>
      <c r="F20" s="25"/>
      <c r="G20" s="89">
        <f t="shared" si="3"/>
        <v>0</v>
      </c>
      <c r="H20" s="89">
        <f t="shared" si="0"/>
        <v>0</v>
      </c>
      <c r="I20" s="89">
        <f t="shared" si="1"/>
        <v>0</v>
      </c>
      <c r="J20" s="89">
        <f t="shared" si="2"/>
        <v>0</v>
      </c>
    </row>
    <row r="21" spans="1:10" ht="15.75">
      <c r="A21" s="24" t="s">
        <v>22</v>
      </c>
      <c r="B21" s="25"/>
      <c r="C21" s="25"/>
      <c r="D21" s="25"/>
      <c r="E21" s="25"/>
      <c r="F21" s="25"/>
      <c r="G21" s="89">
        <f t="shared" si="3"/>
        <v>0</v>
      </c>
      <c r="H21" s="89">
        <f t="shared" si="0"/>
        <v>0</v>
      </c>
      <c r="I21" s="89">
        <f t="shared" si="1"/>
        <v>0</v>
      </c>
      <c r="J21" s="89">
        <f t="shared" si="2"/>
        <v>0</v>
      </c>
    </row>
    <row r="22" spans="1:10" ht="15.75">
      <c r="A22" s="24" t="s">
        <v>23</v>
      </c>
      <c r="B22" s="25"/>
      <c r="C22" s="25"/>
      <c r="D22" s="25"/>
      <c r="E22" s="25"/>
      <c r="F22" s="25"/>
      <c r="G22" s="89">
        <f t="shared" si="3"/>
        <v>0</v>
      </c>
      <c r="H22" s="89">
        <f t="shared" si="0"/>
        <v>0</v>
      </c>
      <c r="I22" s="89">
        <f t="shared" si="1"/>
        <v>0</v>
      </c>
      <c r="J22" s="89">
        <f t="shared" si="2"/>
        <v>0</v>
      </c>
    </row>
    <row r="23" spans="1:10" ht="15.75">
      <c r="A23" s="24" t="s">
        <v>24</v>
      </c>
      <c r="B23" s="25">
        <v>130</v>
      </c>
      <c r="C23" s="25">
        <v>411</v>
      </c>
      <c r="D23" s="25">
        <v>411</v>
      </c>
      <c r="E23" s="25">
        <v>388</v>
      </c>
      <c r="F23" s="25">
        <v>186</v>
      </c>
      <c r="G23" s="89">
        <f t="shared" si="3"/>
        <v>3.1615384615384614</v>
      </c>
      <c r="H23" s="89">
        <f t="shared" si="0"/>
        <v>0.9440389294403893</v>
      </c>
      <c r="I23" s="89">
        <f t="shared" si="1"/>
        <v>0.4793814432989691</v>
      </c>
      <c r="J23" s="89">
        <f t="shared" si="2"/>
        <v>1.4307692307692308</v>
      </c>
    </row>
    <row r="24" spans="1:10" ht="15.75">
      <c r="A24" s="24" t="s">
        <v>25</v>
      </c>
      <c r="B24" s="25"/>
      <c r="C24" s="25"/>
      <c r="D24" s="25"/>
      <c r="E24" s="25"/>
      <c r="F24" s="25"/>
      <c r="G24" s="89">
        <f t="shared" si="3"/>
        <v>0</v>
      </c>
      <c r="H24" s="89">
        <f t="shared" si="0"/>
        <v>0</v>
      </c>
      <c r="I24" s="89">
        <f t="shared" si="1"/>
        <v>0</v>
      </c>
      <c r="J24" s="89">
        <f t="shared" si="2"/>
        <v>0</v>
      </c>
    </row>
    <row r="25" spans="1:10" ht="15.75">
      <c r="A25" s="24" t="s">
        <v>26</v>
      </c>
      <c r="B25" s="25"/>
      <c r="C25" s="25"/>
      <c r="D25" s="25"/>
      <c r="E25" s="25"/>
      <c r="F25" s="25"/>
      <c r="G25" s="89">
        <f t="shared" si="3"/>
        <v>0</v>
      </c>
      <c r="H25" s="89">
        <f t="shared" si="0"/>
        <v>0</v>
      </c>
      <c r="I25" s="89">
        <f t="shared" si="1"/>
        <v>0</v>
      </c>
      <c r="J25" s="89">
        <f t="shared" si="2"/>
        <v>0</v>
      </c>
    </row>
    <row r="26" spans="1:10" ht="15.75">
      <c r="A26" s="24" t="s">
        <v>27</v>
      </c>
      <c r="B26" s="25"/>
      <c r="C26" s="25"/>
      <c r="D26" s="25"/>
      <c r="E26" s="25"/>
      <c r="F26" s="25"/>
      <c r="G26" s="89">
        <f t="shared" si="3"/>
        <v>0</v>
      </c>
      <c r="H26" s="89">
        <f t="shared" si="0"/>
        <v>0</v>
      </c>
      <c r="I26" s="89">
        <f t="shared" si="1"/>
        <v>0</v>
      </c>
      <c r="J26" s="89">
        <f t="shared" si="2"/>
        <v>0</v>
      </c>
    </row>
    <row r="27" spans="1:10" ht="15.75">
      <c r="A27" s="24" t="s">
        <v>28</v>
      </c>
      <c r="B27" s="25"/>
      <c r="C27" s="25"/>
      <c r="D27" s="25"/>
      <c r="E27" s="25"/>
      <c r="F27" s="25"/>
      <c r="G27" s="89">
        <f t="shared" si="3"/>
        <v>0</v>
      </c>
      <c r="H27" s="89">
        <f t="shared" si="0"/>
        <v>0</v>
      </c>
      <c r="I27" s="89">
        <f t="shared" si="1"/>
        <v>0</v>
      </c>
      <c r="J27" s="89">
        <f t="shared" si="2"/>
        <v>0</v>
      </c>
    </row>
    <row r="28" spans="1:10" ht="15.75">
      <c r="A28" s="24" t="s">
        <v>29</v>
      </c>
      <c r="B28" s="25"/>
      <c r="C28" s="25"/>
      <c r="D28" s="25"/>
      <c r="E28" s="25"/>
      <c r="F28" s="25"/>
      <c r="G28" s="89">
        <f t="shared" si="3"/>
        <v>0</v>
      </c>
      <c r="H28" s="89">
        <f aca="true" t="shared" si="4" ref="H28:I31">_xlfn.IFERROR(E28/D28,0)</f>
        <v>0</v>
      </c>
      <c r="I28" s="89">
        <f t="shared" si="4"/>
        <v>0</v>
      </c>
      <c r="J28" s="89">
        <f>_xlfn.IFERROR(F28/B28,0)</f>
        <v>0</v>
      </c>
    </row>
    <row r="29" spans="1:10" ht="15.75">
      <c r="A29" s="24" t="s">
        <v>30</v>
      </c>
      <c r="B29" s="25"/>
      <c r="C29" s="25"/>
      <c r="D29" s="25"/>
      <c r="E29" s="25"/>
      <c r="F29" s="25"/>
      <c r="G29" s="89">
        <f t="shared" si="3"/>
        <v>0</v>
      </c>
      <c r="H29" s="89">
        <f t="shared" si="4"/>
        <v>0</v>
      </c>
      <c r="I29" s="89">
        <f t="shared" si="4"/>
        <v>0</v>
      </c>
      <c r="J29" s="89">
        <f>_xlfn.IFERROR(F29/B29,0)</f>
        <v>0</v>
      </c>
    </row>
    <row r="30" spans="1:10" ht="30">
      <c r="A30" s="27" t="s">
        <v>31</v>
      </c>
      <c r="B30" s="26"/>
      <c r="C30" s="26"/>
      <c r="D30" s="26"/>
      <c r="E30" s="26"/>
      <c r="F30" s="26"/>
      <c r="G30" s="89">
        <f t="shared" si="3"/>
        <v>0</v>
      </c>
      <c r="H30" s="89">
        <f t="shared" si="4"/>
        <v>0</v>
      </c>
      <c r="I30" s="89">
        <f t="shared" si="4"/>
        <v>0</v>
      </c>
      <c r="J30" s="89">
        <f>_xlfn.IFERROR(F30/B30,0)</f>
        <v>0</v>
      </c>
    </row>
    <row r="31" spans="1:10" ht="15.75">
      <c r="A31" s="87" t="s">
        <v>40</v>
      </c>
      <c r="B31" s="38">
        <f>+SUM(B4:B30)</f>
        <v>1062</v>
      </c>
      <c r="C31" s="38">
        <f>+SUM(C4:C30)</f>
        <v>4296</v>
      </c>
      <c r="D31" s="38">
        <f>+SUM(D4:D30)</f>
        <v>4070</v>
      </c>
      <c r="E31" s="38">
        <f>+SUM(E4:E30)</f>
        <v>2007</v>
      </c>
      <c r="F31" s="38">
        <f>+SUM(F4:F30)</f>
        <v>964</v>
      </c>
      <c r="G31" s="89">
        <f t="shared" si="3"/>
        <v>4.045197740112994</v>
      </c>
      <c r="H31" s="89">
        <f t="shared" si="4"/>
        <v>0.49312039312039313</v>
      </c>
      <c r="I31" s="89">
        <f t="shared" si="4"/>
        <v>0.4803188839063279</v>
      </c>
      <c r="J31" s="89">
        <f>_xlfn.IFERROR(F31/B31,0)</f>
        <v>0.9077212806026366</v>
      </c>
    </row>
    <row r="32" spans="1:10" ht="15.75">
      <c r="A32" s="28"/>
      <c r="B32" s="29"/>
      <c r="C32" s="29"/>
      <c r="D32" s="29"/>
      <c r="E32" s="29"/>
      <c r="F32" s="29"/>
      <c r="G32" s="29"/>
      <c r="H32" s="29"/>
      <c r="J32" s="29"/>
    </row>
    <row r="33" spans="1:10" ht="16.5" thickBot="1">
      <c r="A33" s="469" t="s">
        <v>39</v>
      </c>
      <c r="B33" s="470"/>
      <c r="C33" s="470"/>
      <c r="D33" s="470"/>
      <c r="E33" s="470"/>
      <c r="F33" s="470"/>
      <c r="G33" s="470"/>
      <c r="H33" s="470"/>
      <c r="I33" s="470"/>
      <c r="J33" s="470"/>
    </row>
    <row r="34" spans="1:10" ht="32.25" thickBot="1">
      <c r="A34" s="53" t="s">
        <v>53</v>
      </c>
      <c r="B34" s="54" t="s">
        <v>44</v>
      </c>
      <c r="C34" s="54" t="s">
        <v>45</v>
      </c>
      <c r="D34" s="55" t="s">
        <v>46</v>
      </c>
      <c r="E34" s="55" t="s">
        <v>47</v>
      </c>
      <c r="F34" s="55" t="s">
        <v>48</v>
      </c>
      <c r="G34" s="56" t="s">
        <v>49</v>
      </c>
      <c r="H34" s="56" t="s">
        <v>50</v>
      </c>
      <c r="I34" s="56" t="s">
        <v>51</v>
      </c>
      <c r="J34" s="57" t="s">
        <v>52</v>
      </c>
    </row>
    <row r="35" spans="1:10" ht="31.5">
      <c r="A35" s="51" t="s">
        <v>5</v>
      </c>
      <c r="B35" s="52">
        <v>200</v>
      </c>
      <c r="C35" s="52">
        <v>345</v>
      </c>
      <c r="D35" s="52">
        <v>345</v>
      </c>
      <c r="E35" s="52">
        <v>219</v>
      </c>
      <c r="F35" s="52">
        <v>145</v>
      </c>
      <c r="G35" s="88">
        <f>_xlfn.IFERROR(C35/B35,0)</f>
        <v>1.725</v>
      </c>
      <c r="H35" s="88">
        <f>_xlfn.IFERROR(E35/D35,0)</f>
        <v>0.6347826086956522</v>
      </c>
      <c r="I35" s="88">
        <f>_xlfn.IFERROR(F35/E35,0)</f>
        <v>0.6621004566210046</v>
      </c>
      <c r="J35" s="88">
        <f>_xlfn.IFERROR(F35/B35,0)</f>
        <v>0.725</v>
      </c>
    </row>
    <row r="36" spans="1:10" ht="15.75">
      <c r="A36" s="15" t="s">
        <v>6</v>
      </c>
      <c r="B36" s="3">
        <f>30+25</f>
        <v>55</v>
      </c>
      <c r="C36" s="3">
        <v>33</v>
      </c>
      <c r="D36" s="3">
        <f>25+4</f>
        <v>29</v>
      </c>
      <c r="E36" s="3">
        <f>25+3</f>
        <v>28</v>
      </c>
      <c r="F36" s="3">
        <f>16+0</f>
        <v>16</v>
      </c>
      <c r="G36" s="89">
        <f aca="true" t="shared" si="5" ref="G36:G50">_xlfn.IFERROR(C36/B36,0)</f>
        <v>0.6</v>
      </c>
      <c r="H36" s="89">
        <f aca="true" t="shared" si="6" ref="H36:H50">_xlfn.IFERROR(E36/D36,0)</f>
        <v>0.9655172413793104</v>
      </c>
      <c r="I36" s="89">
        <f aca="true" t="shared" si="7" ref="I36:I50">_xlfn.IFERROR(F36/E36,0)</f>
        <v>0.5714285714285714</v>
      </c>
      <c r="J36" s="89">
        <f aca="true" t="shared" si="8" ref="J36:J50">_xlfn.IFERROR(F36/B36,0)</f>
        <v>0.2909090909090909</v>
      </c>
    </row>
    <row r="37" spans="1:10" ht="15.75">
      <c r="A37" s="15" t="s">
        <v>7</v>
      </c>
      <c r="B37" s="3"/>
      <c r="C37" s="3"/>
      <c r="D37" s="3"/>
      <c r="E37" s="3"/>
      <c r="F37" s="3"/>
      <c r="G37" s="89">
        <f t="shared" si="5"/>
        <v>0</v>
      </c>
      <c r="H37" s="89">
        <f t="shared" si="6"/>
        <v>0</v>
      </c>
      <c r="I37" s="89">
        <f t="shared" si="7"/>
        <v>0</v>
      </c>
      <c r="J37" s="89">
        <f t="shared" si="8"/>
        <v>0</v>
      </c>
    </row>
    <row r="38" spans="1:10" ht="15.75">
      <c r="A38" s="15" t="s">
        <v>8</v>
      </c>
      <c r="B38" s="3">
        <f>150+20</f>
        <v>170</v>
      </c>
      <c r="C38" s="3">
        <f>193+26</f>
        <v>219</v>
      </c>
      <c r="D38" s="3">
        <f>193+24</f>
        <v>217</v>
      </c>
      <c r="E38" s="3">
        <f>188+24</f>
        <v>212</v>
      </c>
      <c r="F38" s="3">
        <f>124+21</f>
        <v>145</v>
      </c>
      <c r="G38" s="89">
        <f t="shared" si="5"/>
        <v>1.2882352941176471</v>
      </c>
      <c r="H38" s="89">
        <f t="shared" si="6"/>
        <v>0.9769585253456221</v>
      </c>
      <c r="I38" s="89">
        <f t="shared" si="7"/>
        <v>0.6839622641509434</v>
      </c>
      <c r="J38" s="89">
        <f t="shared" si="8"/>
        <v>0.8529411764705882</v>
      </c>
    </row>
    <row r="39" spans="1:10" ht="15.75">
      <c r="A39" s="15" t="s">
        <v>9</v>
      </c>
      <c r="B39" s="3"/>
      <c r="C39" s="3"/>
      <c r="D39" s="3"/>
      <c r="E39" s="3"/>
      <c r="F39" s="3"/>
      <c r="G39" s="89">
        <f t="shared" si="5"/>
        <v>0</v>
      </c>
      <c r="H39" s="89">
        <f t="shared" si="6"/>
        <v>0</v>
      </c>
      <c r="I39" s="89">
        <f t="shared" si="7"/>
        <v>0</v>
      </c>
      <c r="J39" s="89">
        <f t="shared" si="8"/>
        <v>0</v>
      </c>
    </row>
    <row r="40" spans="1:10" ht="19.5" customHeight="1">
      <c r="A40" s="15" t="s">
        <v>10</v>
      </c>
      <c r="B40" s="3"/>
      <c r="C40" s="3"/>
      <c r="D40" s="3"/>
      <c r="E40" s="3"/>
      <c r="F40" s="3"/>
      <c r="G40" s="89">
        <f t="shared" si="5"/>
        <v>0</v>
      </c>
      <c r="H40" s="89">
        <f t="shared" si="6"/>
        <v>0</v>
      </c>
      <c r="I40" s="89">
        <f t="shared" si="7"/>
        <v>0</v>
      </c>
      <c r="J40" s="89">
        <f t="shared" si="8"/>
        <v>0</v>
      </c>
    </row>
    <row r="41" spans="1:10" ht="18" customHeight="1">
      <c r="A41" s="15" t="s">
        <v>11</v>
      </c>
      <c r="B41" s="3">
        <v>200</v>
      </c>
      <c r="C41" s="3">
        <v>372</v>
      </c>
      <c r="D41" s="3">
        <v>296</v>
      </c>
      <c r="E41" s="3">
        <v>290</v>
      </c>
      <c r="F41" s="3">
        <v>208</v>
      </c>
      <c r="G41" s="89">
        <f t="shared" si="5"/>
        <v>1.86</v>
      </c>
      <c r="H41" s="89">
        <f t="shared" si="6"/>
        <v>0.9797297297297297</v>
      </c>
      <c r="I41" s="89">
        <f t="shared" si="7"/>
        <v>0.7172413793103448</v>
      </c>
      <c r="J41" s="89">
        <f t="shared" si="8"/>
        <v>1.04</v>
      </c>
    </row>
    <row r="42" spans="1:10" ht="17.25" customHeight="1">
      <c r="A42" s="15" t="s">
        <v>12</v>
      </c>
      <c r="B42" s="3"/>
      <c r="C42" s="3"/>
      <c r="D42" s="3"/>
      <c r="E42" s="3"/>
      <c r="F42" s="3"/>
      <c r="G42" s="89">
        <f t="shared" si="5"/>
        <v>0</v>
      </c>
      <c r="H42" s="89">
        <f t="shared" si="6"/>
        <v>0</v>
      </c>
      <c r="I42" s="89">
        <f t="shared" si="7"/>
        <v>0</v>
      </c>
      <c r="J42" s="89">
        <f t="shared" si="8"/>
        <v>0</v>
      </c>
    </row>
    <row r="43" spans="1:10" ht="17.25" customHeight="1">
      <c r="A43" s="15" t="s">
        <v>13</v>
      </c>
      <c r="B43" s="2"/>
      <c r="C43" s="2"/>
      <c r="D43" s="2"/>
      <c r="E43" s="2"/>
      <c r="F43" s="2"/>
      <c r="G43" s="89">
        <f t="shared" si="5"/>
        <v>0</v>
      </c>
      <c r="H43" s="89">
        <f t="shared" si="6"/>
        <v>0</v>
      </c>
      <c r="I43" s="89">
        <f t="shared" si="7"/>
        <v>0</v>
      </c>
      <c r="J43" s="89">
        <f t="shared" si="8"/>
        <v>0</v>
      </c>
    </row>
    <row r="44" spans="1:10" ht="31.5">
      <c r="A44" s="15" t="s">
        <v>14</v>
      </c>
      <c r="B44" s="22"/>
      <c r="C44" s="22"/>
      <c r="D44" s="2"/>
      <c r="E44" s="2"/>
      <c r="F44" s="2"/>
      <c r="G44" s="89">
        <f t="shared" si="5"/>
        <v>0</v>
      </c>
      <c r="H44" s="89">
        <f t="shared" si="6"/>
        <v>0</v>
      </c>
      <c r="I44" s="89">
        <f t="shared" si="7"/>
        <v>0</v>
      </c>
      <c r="J44" s="89">
        <f t="shared" si="8"/>
        <v>0</v>
      </c>
    </row>
    <row r="45" spans="1:10" ht="15.75">
      <c r="A45" s="15" t="s">
        <v>15</v>
      </c>
      <c r="B45" s="3"/>
      <c r="C45" s="3"/>
      <c r="D45" s="3"/>
      <c r="E45" s="3"/>
      <c r="F45" s="3"/>
      <c r="G45" s="89">
        <f t="shared" si="5"/>
        <v>0</v>
      </c>
      <c r="H45" s="89">
        <f t="shared" si="6"/>
        <v>0</v>
      </c>
      <c r="I45" s="89">
        <f t="shared" si="7"/>
        <v>0</v>
      </c>
      <c r="J45" s="89">
        <f t="shared" si="8"/>
        <v>0</v>
      </c>
    </row>
    <row r="46" spans="1:10" ht="31.5">
      <c r="A46" s="15" t="s">
        <v>16</v>
      </c>
      <c r="B46" s="3"/>
      <c r="C46" s="3"/>
      <c r="D46" s="3"/>
      <c r="E46" s="3"/>
      <c r="F46" s="3"/>
      <c r="G46" s="89">
        <f t="shared" si="5"/>
        <v>0</v>
      </c>
      <c r="H46" s="89">
        <f t="shared" si="6"/>
        <v>0</v>
      </c>
      <c r="I46" s="89">
        <f t="shared" si="7"/>
        <v>0</v>
      </c>
      <c r="J46" s="89">
        <f t="shared" si="8"/>
        <v>0</v>
      </c>
    </row>
    <row r="47" spans="1:10" ht="15.75">
      <c r="A47" s="15" t="s">
        <v>17</v>
      </c>
      <c r="B47" s="3"/>
      <c r="C47" s="3"/>
      <c r="D47" s="3"/>
      <c r="E47" s="3"/>
      <c r="F47" s="3"/>
      <c r="G47" s="89">
        <f t="shared" si="5"/>
        <v>0</v>
      </c>
      <c r="H47" s="89">
        <f t="shared" si="6"/>
        <v>0</v>
      </c>
      <c r="I47" s="89">
        <f t="shared" si="7"/>
        <v>0</v>
      </c>
      <c r="J47" s="89">
        <f t="shared" si="8"/>
        <v>0</v>
      </c>
    </row>
    <row r="48" spans="1:10" ht="15.75">
      <c r="A48" s="15" t="s">
        <v>18</v>
      </c>
      <c r="B48" s="3"/>
      <c r="C48" s="3"/>
      <c r="D48" s="3"/>
      <c r="E48" s="3"/>
      <c r="F48" s="3"/>
      <c r="G48" s="89">
        <f t="shared" si="5"/>
        <v>0</v>
      </c>
      <c r="H48" s="89">
        <f t="shared" si="6"/>
        <v>0</v>
      </c>
      <c r="I48" s="89">
        <f t="shared" si="7"/>
        <v>0</v>
      </c>
      <c r="J48" s="89">
        <f t="shared" si="8"/>
        <v>0</v>
      </c>
    </row>
    <row r="49" spans="1:10" ht="18.75" customHeight="1">
      <c r="A49" s="15" t="s">
        <v>19</v>
      </c>
      <c r="B49" s="3"/>
      <c r="C49" s="3"/>
      <c r="D49" s="3"/>
      <c r="E49" s="3"/>
      <c r="F49" s="3"/>
      <c r="G49" s="89">
        <f t="shared" si="5"/>
        <v>0</v>
      </c>
      <c r="H49" s="89">
        <f t="shared" si="6"/>
        <v>0</v>
      </c>
      <c r="I49" s="89">
        <f t="shared" si="7"/>
        <v>0</v>
      </c>
      <c r="J49" s="89">
        <f t="shared" si="8"/>
        <v>0</v>
      </c>
    </row>
    <row r="50" spans="1:10" ht="17.25" customHeight="1">
      <c r="A50" s="15" t="s">
        <v>20</v>
      </c>
      <c r="B50" s="3"/>
      <c r="C50" s="3"/>
      <c r="D50" s="3"/>
      <c r="E50" s="3"/>
      <c r="F50" s="3"/>
      <c r="G50" s="89">
        <f t="shared" si="5"/>
        <v>0</v>
      </c>
      <c r="H50" s="89">
        <f t="shared" si="6"/>
        <v>0</v>
      </c>
      <c r="I50" s="89">
        <f t="shared" si="7"/>
        <v>0</v>
      </c>
      <c r="J50" s="89">
        <f t="shared" si="8"/>
        <v>0</v>
      </c>
    </row>
    <row r="51" spans="1:10" ht="18" customHeight="1">
      <c r="A51" s="15" t="s">
        <v>21</v>
      </c>
      <c r="B51" s="3"/>
      <c r="C51" s="3"/>
      <c r="D51" s="3"/>
      <c r="E51" s="3"/>
      <c r="F51" s="3"/>
      <c r="G51" s="89">
        <f>_xlfn.IFERROR(C51/B51,0)</f>
        <v>0</v>
      </c>
      <c r="H51" s="89">
        <f>_xlfn.IFERROR(E51/D51,0)</f>
        <v>0</v>
      </c>
      <c r="I51" s="89">
        <f>_xlfn.IFERROR(F51/E51,0)</f>
        <v>0</v>
      </c>
      <c r="J51" s="89">
        <f>_xlfn.IFERROR(F51/B51,0)</f>
        <v>0</v>
      </c>
    </row>
    <row r="52" spans="1:10" ht="16.5" customHeight="1">
      <c r="A52" s="15" t="s">
        <v>22</v>
      </c>
      <c r="B52" s="3"/>
      <c r="C52" s="3"/>
      <c r="D52" s="3"/>
      <c r="E52" s="3"/>
      <c r="F52" s="3"/>
      <c r="G52" s="89">
        <f aca="true" t="shared" si="9" ref="G52:G62">_xlfn.IFERROR(C52/B52,0)</f>
        <v>0</v>
      </c>
      <c r="H52" s="89">
        <f aca="true" t="shared" si="10" ref="H52:H62">_xlfn.IFERROR(E52/D52,0)</f>
        <v>0</v>
      </c>
      <c r="I52" s="89">
        <f aca="true" t="shared" si="11" ref="I52:I62">_xlfn.IFERROR(F52/E52,0)</f>
        <v>0</v>
      </c>
      <c r="J52" s="89">
        <f aca="true" t="shared" si="12" ref="J52:J62">_xlfn.IFERROR(F52/B52,0)</f>
        <v>0</v>
      </c>
    </row>
    <row r="53" spans="1:10" ht="15.75">
      <c r="A53" s="15" t="s">
        <v>23</v>
      </c>
      <c r="B53" s="3"/>
      <c r="C53" s="3"/>
      <c r="D53" s="3"/>
      <c r="E53" s="3"/>
      <c r="F53" s="3"/>
      <c r="G53" s="89">
        <f t="shared" si="9"/>
        <v>0</v>
      </c>
      <c r="H53" s="89">
        <f t="shared" si="10"/>
        <v>0</v>
      </c>
      <c r="I53" s="89">
        <f t="shared" si="11"/>
        <v>0</v>
      </c>
      <c r="J53" s="89">
        <f t="shared" si="12"/>
        <v>0</v>
      </c>
    </row>
    <row r="54" spans="1:10" ht="19.5" customHeight="1">
      <c r="A54" s="15" t="s">
        <v>24</v>
      </c>
      <c r="B54" s="3">
        <v>150</v>
      </c>
      <c r="C54" s="3">
        <v>51</v>
      </c>
      <c r="D54" s="3">
        <v>51</v>
      </c>
      <c r="E54" s="3">
        <v>49</v>
      </c>
      <c r="F54" s="3">
        <v>35</v>
      </c>
      <c r="G54" s="89">
        <f t="shared" si="9"/>
        <v>0.34</v>
      </c>
      <c r="H54" s="89">
        <f t="shared" si="10"/>
        <v>0.9607843137254902</v>
      </c>
      <c r="I54" s="89">
        <f t="shared" si="11"/>
        <v>0.7142857142857143</v>
      </c>
      <c r="J54" s="89">
        <f t="shared" si="12"/>
        <v>0.23333333333333334</v>
      </c>
    </row>
    <row r="55" spans="1:10" ht="18.75" customHeight="1">
      <c r="A55" s="15" t="s">
        <v>25</v>
      </c>
      <c r="B55" s="3"/>
      <c r="C55" s="3"/>
      <c r="D55" s="3"/>
      <c r="E55" s="3"/>
      <c r="F55" s="3"/>
      <c r="G55" s="89">
        <f t="shared" si="9"/>
        <v>0</v>
      </c>
      <c r="H55" s="89">
        <f t="shared" si="10"/>
        <v>0</v>
      </c>
      <c r="I55" s="89">
        <f t="shared" si="11"/>
        <v>0</v>
      </c>
      <c r="J55" s="89">
        <f t="shared" si="12"/>
        <v>0</v>
      </c>
    </row>
    <row r="56" spans="1:10" ht="17.25" customHeight="1">
      <c r="A56" s="15" t="s">
        <v>26</v>
      </c>
      <c r="B56" s="3"/>
      <c r="C56" s="3"/>
      <c r="D56" s="3"/>
      <c r="E56" s="3"/>
      <c r="F56" s="3"/>
      <c r="G56" s="89">
        <f t="shared" si="9"/>
        <v>0</v>
      </c>
      <c r="H56" s="89">
        <f t="shared" si="10"/>
        <v>0</v>
      </c>
      <c r="I56" s="89">
        <f t="shared" si="11"/>
        <v>0</v>
      </c>
      <c r="J56" s="89">
        <f t="shared" si="12"/>
        <v>0</v>
      </c>
    </row>
    <row r="57" spans="1:10" ht="16.5" customHeight="1">
      <c r="A57" s="15" t="s">
        <v>27</v>
      </c>
      <c r="B57" s="3"/>
      <c r="C57" s="3"/>
      <c r="D57" s="3"/>
      <c r="E57" s="3"/>
      <c r="F57" s="3"/>
      <c r="G57" s="89">
        <f t="shared" si="9"/>
        <v>0</v>
      </c>
      <c r="H57" s="89">
        <f t="shared" si="10"/>
        <v>0</v>
      </c>
      <c r="I57" s="89">
        <f t="shared" si="11"/>
        <v>0</v>
      </c>
      <c r="J57" s="89">
        <f t="shared" si="12"/>
        <v>0</v>
      </c>
    </row>
    <row r="58" spans="1:10" ht="17.25" customHeight="1">
      <c r="A58" s="15" t="s">
        <v>28</v>
      </c>
      <c r="B58" s="3"/>
      <c r="C58" s="3"/>
      <c r="D58" s="3"/>
      <c r="E58" s="3"/>
      <c r="F58" s="3"/>
      <c r="G58" s="89">
        <f t="shared" si="9"/>
        <v>0</v>
      </c>
      <c r="H58" s="89">
        <f t="shared" si="10"/>
        <v>0</v>
      </c>
      <c r="I58" s="89">
        <f t="shared" si="11"/>
        <v>0</v>
      </c>
      <c r="J58" s="89">
        <f t="shared" si="12"/>
        <v>0</v>
      </c>
    </row>
    <row r="59" spans="1:10" ht="15.75">
      <c r="A59" s="15" t="s">
        <v>29</v>
      </c>
      <c r="B59" s="3"/>
      <c r="C59" s="3"/>
      <c r="D59" s="3"/>
      <c r="E59" s="3"/>
      <c r="F59" s="3"/>
      <c r="G59" s="89">
        <f t="shared" si="9"/>
        <v>0</v>
      </c>
      <c r="H59" s="89">
        <f t="shared" si="10"/>
        <v>0</v>
      </c>
      <c r="I59" s="89">
        <f t="shared" si="11"/>
        <v>0</v>
      </c>
      <c r="J59" s="89">
        <f t="shared" si="12"/>
        <v>0</v>
      </c>
    </row>
    <row r="60" spans="1:10" ht="15.75">
      <c r="A60" s="15" t="s">
        <v>30</v>
      </c>
      <c r="B60" s="3"/>
      <c r="C60" s="3"/>
      <c r="D60" s="3"/>
      <c r="E60" s="3"/>
      <c r="F60" s="3"/>
      <c r="G60" s="89">
        <f t="shared" si="9"/>
        <v>0</v>
      </c>
      <c r="H60" s="89">
        <f t="shared" si="10"/>
        <v>0</v>
      </c>
      <c r="I60" s="89">
        <f t="shared" si="11"/>
        <v>0</v>
      </c>
      <c r="J60" s="89">
        <f t="shared" si="12"/>
        <v>0</v>
      </c>
    </row>
    <row r="61" spans="1:10" ht="31.5">
      <c r="A61" s="22" t="s">
        <v>31</v>
      </c>
      <c r="B61" s="2"/>
      <c r="C61" s="2"/>
      <c r="D61" s="2"/>
      <c r="E61" s="2"/>
      <c r="F61" s="2"/>
      <c r="G61" s="89">
        <f t="shared" si="9"/>
        <v>0</v>
      </c>
      <c r="H61" s="89">
        <f t="shared" si="10"/>
        <v>0</v>
      </c>
      <c r="I61" s="89">
        <f t="shared" si="11"/>
        <v>0</v>
      </c>
      <c r="J61" s="89">
        <f t="shared" si="12"/>
        <v>0</v>
      </c>
    </row>
    <row r="62" spans="1:10" ht="17.25" customHeight="1">
      <c r="A62" s="87" t="s">
        <v>40</v>
      </c>
      <c r="B62" s="38">
        <f>+SUM(B35:B61)</f>
        <v>775</v>
      </c>
      <c r="C62" s="38">
        <f>+SUM(C35:C61)</f>
        <v>1020</v>
      </c>
      <c r="D62" s="38">
        <f>+SUM(D35:D61)</f>
        <v>938</v>
      </c>
      <c r="E62" s="38">
        <f>+SUM(E35:E61)</f>
        <v>798</v>
      </c>
      <c r="F62" s="38">
        <f>+SUM(F35:F61)</f>
        <v>549</v>
      </c>
      <c r="G62" s="89">
        <f t="shared" si="9"/>
        <v>1.3161290322580645</v>
      </c>
      <c r="H62" s="89">
        <f t="shared" si="10"/>
        <v>0.8507462686567164</v>
      </c>
      <c r="I62" s="89">
        <f t="shared" si="11"/>
        <v>0.6879699248120301</v>
      </c>
      <c r="J62" s="89">
        <f t="shared" si="12"/>
        <v>0.7083870967741935</v>
      </c>
    </row>
    <row r="64" spans="1:5" ht="16.5" thickBot="1">
      <c r="A64" s="81" t="s">
        <v>81</v>
      </c>
      <c r="B64" s="5"/>
      <c r="C64" s="5"/>
      <c r="D64" s="5"/>
      <c r="E64" s="5"/>
    </row>
    <row r="65" spans="1:9" ht="63.75" thickBot="1">
      <c r="A65" s="65" t="s">
        <v>53</v>
      </c>
      <c r="B65" s="66" t="s">
        <v>45</v>
      </c>
      <c r="C65" s="67" t="s">
        <v>46</v>
      </c>
      <c r="D65" s="67" t="s">
        <v>47</v>
      </c>
      <c r="E65" s="67" t="s">
        <v>48</v>
      </c>
      <c r="F65" s="68" t="s">
        <v>91</v>
      </c>
      <c r="G65" s="68" t="s">
        <v>92</v>
      </c>
      <c r="H65" s="68" t="s">
        <v>93</v>
      </c>
      <c r="I65" s="69" t="s">
        <v>94</v>
      </c>
    </row>
    <row r="66" spans="1:9" ht="31.5">
      <c r="A66" s="51" t="s">
        <v>5</v>
      </c>
      <c r="B66" s="52">
        <v>5</v>
      </c>
      <c r="C66" s="52">
        <v>5</v>
      </c>
      <c r="D66" s="52">
        <v>5</v>
      </c>
      <c r="E66" s="52">
        <v>2</v>
      </c>
      <c r="F66" s="90">
        <f aca="true" t="shared" si="13" ref="F66:F93">+_xlfn.IFERROR(B66/(C4+C35),0)*100</f>
        <v>0.3013863773357444</v>
      </c>
      <c r="G66" s="90">
        <f aca="true" t="shared" si="14" ref="G66:G93">+_xlfn.IFERROR(C66/(D4+D35),0)*100</f>
        <v>0.3013863773357444</v>
      </c>
      <c r="H66" s="90">
        <f aca="true" t="shared" si="15" ref="H66:H93">+_xlfn.IFERROR(D66/(E4+E35),0)*100</f>
        <v>0.5903187721369539</v>
      </c>
      <c r="I66" s="90">
        <f aca="true" t="shared" si="16" ref="I66:I93">+_xlfn.IFERROR(E66/(F4+F35),0)*100</f>
        <v>0.43859649122807015</v>
      </c>
    </row>
    <row r="67" spans="1:9" ht="15.75">
      <c r="A67" s="15" t="s">
        <v>6</v>
      </c>
      <c r="B67" s="3">
        <v>1</v>
      </c>
      <c r="C67" s="3">
        <v>1</v>
      </c>
      <c r="D67" s="3">
        <v>1</v>
      </c>
      <c r="E67" s="3">
        <v>1</v>
      </c>
      <c r="F67" s="91">
        <f t="shared" si="13"/>
        <v>0.18796992481203006</v>
      </c>
      <c r="G67" s="91">
        <f t="shared" si="14"/>
        <v>0.21052631578947367</v>
      </c>
      <c r="H67" s="91">
        <f t="shared" si="15"/>
        <v>0.25773195876288657</v>
      </c>
      <c r="I67" s="91">
        <f t="shared" si="16"/>
        <v>0.5714285714285714</v>
      </c>
    </row>
    <row r="68" spans="1:9" ht="15.75">
      <c r="A68" s="15" t="s">
        <v>7</v>
      </c>
      <c r="B68" s="3"/>
      <c r="C68" s="3"/>
      <c r="D68" s="3"/>
      <c r="E68" s="3"/>
      <c r="F68" s="91">
        <f t="shared" si="13"/>
        <v>0</v>
      </c>
      <c r="G68" s="91">
        <f t="shared" si="14"/>
        <v>0</v>
      </c>
      <c r="H68" s="91">
        <f t="shared" si="15"/>
        <v>0</v>
      </c>
      <c r="I68" s="91">
        <f t="shared" si="16"/>
        <v>0</v>
      </c>
    </row>
    <row r="69" spans="1:9" ht="15.75">
      <c r="A69" s="15" t="s">
        <v>8</v>
      </c>
      <c r="B69" s="3">
        <v>1</v>
      </c>
      <c r="C69" s="3">
        <v>1</v>
      </c>
      <c r="D69" s="3">
        <v>0</v>
      </c>
      <c r="E69" s="3">
        <v>0</v>
      </c>
      <c r="F69" s="91">
        <f t="shared" si="13"/>
        <v>0.06968641114982578</v>
      </c>
      <c r="G69" s="91">
        <f t="shared" si="14"/>
        <v>0.07434944237918216</v>
      </c>
      <c r="H69" s="91">
        <f t="shared" si="15"/>
        <v>0</v>
      </c>
      <c r="I69" s="91">
        <f t="shared" si="16"/>
        <v>0</v>
      </c>
    </row>
    <row r="70" spans="1:9" ht="15.75">
      <c r="A70" s="15" t="s">
        <v>9</v>
      </c>
      <c r="B70" s="3"/>
      <c r="C70" s="3"/>
      <c r="D70" s="3"/>
      <c r="E70" s="3"/>
      <c r="F70" s="91">
        <f t="shared" si="13"/>
        <v>0</v>
      </c>
      <c r="G70" s="91">
        <f t="shared" si="14"/>
        <v>0</v>
      </c>
      <c r="H70" s="91">
        <f t="shared" si="15"/>
        <v>0</v>
      </c>
      <c r="I70" s="91">
        <f t="shared" si="16"/>
        <v>0</v>
      </c>
    </row>
    <row r="71" spans="1:9" ht="15.75">
      <c r="A71" s="15" t="s">
        <v>10</v>
      </c>
      <c r="B71" s="3"/>
      <c r="C71" s="3"/>
      <c r="D71" s="3"/>
      <c r="E71" s="3"/>
      <c r="F71" s="91">
        <f t="shared" si="13"/>
        <v>0</v>
      </c>
      <c r="G71" s="91">
        <f t="shared" si="14"/>
        <v>0</v>
      </c>
      <c r="H71" s="91">
        <f t="shared" si="15"/>
        <v>0</v>
      </c>
      <c r="I71" s="91">
        <f t="shared" si="16"/>
        <v>0</v>
      </c>
    </row>
    <row r="72" spans="1:9" ht="15.75">
      <c r="A72" s="15" t="s">
        <v>11</v>
      </c>
      <c r="B72" s="3">
        <v>5</v>
      </c>
      <c r="C72" s="3">
        <v>5</v>
      </c>
      <c r="D72" s="3">
        <v>5</v>
      </c>
      <c r="E72" s="3">
        <v>5</v>
      </c>
      <c r="F72" s="91">
        <f t="shared" si="13"/>
        <v>0.40716612377850164</v>
      </c>
      <c r="G72" s="91">
        <f t="shared" si="14"/>
        <v>0.4686035613870665</v>
      </c>
      <c r="H72" s="91">
        <f t="shared" si="15"/>
        <v>0.8620689655172413</v>
      </c>
      <c r="I72" s="91">
        <f t="shared" si="16"/>
        <v>1.4285714285714286</v>
      </c>
    </row>
    <row r="73" spans="1:9" ht="15.75">
      <c r="A73" s="15" t="s">
        <v>12</v>
      </c>
      <c r="B73" s="3"/>
      <c r="C73" s="3"/>
      <c r="D73" s="3"/>
      <c r="E73" s="3"/>
      <c r="F73" s="91">
        <f t="shared" si="13"/>
        <v>0</v>
      </c>
      <c r="G73" s="91">
        <f t="shared" si="14"/>
        <v>0</v>
      </c>
      <c r="H73" s="91">
        <f t="shared" si="15"/>
        <v>0</v>
      </c>
      <c r="I73" s="91">
        <f t="shared" si="16"/>
        <v>0</v>
      </c>
    </row>
    <row r="74" spans="1:9" ht="15.75">
      <c r="A74" s="15" t="s">
        <v>13</v>
      </c>
      <c r="B74" s="3"/>
      <c r="C74" s="3"/>
      <c r="D74" s="3"/>
      <c r="E74" s="3"/>
      <c r="F74" s="91">
        <f t="shared" si="13"/>
        <v>0</v>
      </c>
      <c r="G74" s="91">
        <f t="shared" si="14"/>
        <v>0</v>
      </c>
      <c r="H74" s="91">
        <f t="shared" si="15"/>
        <v>0</v>
      </c>
      <c r="I74" s="91">
        <f t="shared" si="16"/>
        <v>0</v>
      </c>
    </row>
    <row r="75" spans="1:9" ht="31.5">
      <c r="A75" s="15" t="s">
        <v>14</v>
      </c>
      <c r="B75" s="3"/>
      <c r="C75" s="3"/>
      <c r="D75" s="3"/>
      <c r="E75" s="3"/>
      <c r="F75" s="91">
        <f t="shared" si="13"/>
        <v>0</v>
      </c>
      <c r="G75" s="91">
        <f t="shared" si="14"/>
        <v>0</v>
      </c>
      <c r="H75" s="91">
        <f t="shared" si="15"/>
        <v>0</v>
      </c>
      <c r="I75" s="91">
        <f t="shared" si="16"/>
        <v>0</v>
      </c>
    </row>
    <row r="76" spans="1:9" ht="15.75">
      <c r="A76" s="15" t="s">
        <v>15</v>
      </c>
      <c r="B76" s="3"/>
      <c r="C76" s="3"/>
      <c r="D76" s="3"/>
      <c r="E76" s="3"/>
      <c r="F76" s="91">
        <f t="shared" si="13"/>
        <v>0</v>
      </c>
      <c r="G76" s="91">
        <f t="shared" si="14"/>
        <v>0</v>
      </c>
      <c r="H76" s="91">
        <f t="shared" si="15"/>
        <v>0</v>
      </c>
      <c r="I76" s="91">
        <f t="shared" si="16"/>
        <v>0</v>
      </c>
    </row>
    <row r="77" spans="1:9" ht="31.5">
      <c r="A77" s="15" t="s">
        <v>16</v>
      </c>
      <c r="B77" s="3"/>
      <c r="C77" s="3"/>
      <c r="D77" s="3"/>
      <c r="E77" s="3"/>
      <c r="F77" s="91">
        <f t="shared" si="13"/>
        <v>0</v>
      </c>
      <c r="G77" s="91">
        <f t="shared" si="14"/>
        <v>0</v>
      </c>
      <c r="H77" s="91">
        <f t="shared" si="15"/>
        <v>0</v>
      </c>
      <c r="I77" s="91">
        <f t="shared" si="16"/>
        <v>0</v>
      </c>
    </row>
    <row r="78" spans="1:9" ht="15.75">
      <c r="A78" s="15" t="s">
        <v>17</v>
      </c>
      <c r="B78" s="3"/>
      <c r="C78" s="3"/>
      <c r="D78" s="3"/>
      <c r="E78" s="3"/>
      <c r="F78" s="91">
        <f t="shared" si="13"/>
        <v>0</v>
      </c>
      <c r="G78" s="91">
        <f t="shared" si="14"/>
        <v>0</v>
      </c>
      <c r="H78" s="91">
        <f t="shared" si="15"/>
        <v>0</v>
      </c>
      <c r="I78" s="91">
        <f t="shared" si="16"/>
        <v>0</v>
      </c>
    </row>
    <row r="79" spans="1:9" ht="15.75">
      <c r="A79" s="15" t="s">
        <v>18</v>
      </c>
      <c r="B79" s="3"/>
      <c r="C79" s="3"/>
      <c r="D79" s="3"/>
      <c r="E79" s="3"/>
      <c r="F79" s="91">
        <f t="shared" si="13"/>
        <v>0</v>
      </c>
      <c r="G79" s="91">
        <f t="shared" si="14"/>
        <v>0</v>
      </c>
      <c r="H79" s="91">
        <f t="shared" si="15"/>
        <v>0</v>
      </c>
      <c r="I79" s="91">
        <f t="shared" si="16"/>
        <v>0</v>
      </c>
    </row>
    <row r="80" spans="1:9" ht="15.75">
      <c r="A80" s="15" t="s">
        <v>19</v>
      </c>
      <c r="B80" s="3"/>
      <c r="C80" s="3"/>
      <c r="D80" s="3"/>
      <c r="E80" s="3"/>
      <c r="F80" s="91">
        <f t="shared" si="13"/>
        <v>0</v>
      </c>
      <c r="G80" s="91">
        <f t="shared" si="14"/>
        <v>0</v>
      </c>
      <c r="H80" s="91">
        <f t="shared" si="15"/>
        <v>0</v>
      </c>
      <c r="I80" s="91">
        <f t="shared" si="16"/>
        <v>0</v>
      </c>
    </row>
    <row r="81" spans="1:9" ht="15.75">
      <c r="A81" s="15" t="s">
        <v>20</v>
      </c>
      <c r="B81" s="3"/>
      <c r="C81" s="3"/>
      <c r="D81" s="3"/>
      <c r="E81" s="3"/>
      <c r="F81" s="91">
        <f t="shared" si="13"/>
        <v>0</v>
      </c>
      <c r="G81" s="91">
        <f t="shared" si="14"/>
        <v>0</v>
      </c>
      <c r="H81" s="91">
        <f t="shared" si="15"/>
        <v>0</v>
      </c>
      <c r="I81" s="91">
        <f t="shared" si="16"/>
        <v>0</v>
      </c>
    </row>
    <row r="82" spans="1:9" ht="15.75">
      <c r="A82" s="15" t="s">
        <v>21</v>
      </c>
      <c r="B82" s="3"/>
      <c r="C82" s="3"/>
      <c r="D82" s="3"/>
      <c r="E82" s="3"/>
      <c r="F82" s="91">
        <f t="shared" si="13"/>
        <v>0</v>
      </c>
      <c r="G82" s="91">
        <f t="shared" si="14"/>
        <v>0</v>
      </c>
      <c r="H82" s="91">
        <f t="shared" si="15"/>
        <v>0</v>
      </c>
      <c r="I82" s="91">
        <f t="shared" si="16"/>
        <v>0</v>
      </c>
    </row>
    <row r="83" spans="1:9" ht="15.75">
      <c r="A83" s="15" t="s">
        <v>22</v>
      </c>
      <c r="B83" s="3"/>
      <c r="C83" s="3"/>
      <c r="D83" s="3"/>
      <c r="E83" s="3"/>
      <c r="F83" s="91">
        <f t="shared" si="13"/>
        <v>0</v>
      </c>
      <c r="G83" s="91">
        <f t="shared" si="14"/>
        <v>0</v>
      </c>
      <c r="H83" s="91">
        <f t="shared" si="15"/>
        <v>0</v>
      </c>
      <c r="I83" s="91">
        <f t="shared" si="16"/>
        <v>0</v>
      </c>
    </row>
    <row r="84" spans="1:9" ht="15.75">
      <c r="A84" s="15" t="s">
        <v>23</v>
      </c>
      <c r="B84" s="3"/>
      <c r="C84" s="3"/>
      <c r="D84" s="3"/>
      <c r="E84" s="3"/>
      <c r="F84" s="91">
        <f t="shared" si="13"/>
        <v>0</v>
      </c>
      <c r="G84" s="91">
        <f t="shared" si="14"/>
        <v>0</v>
      </c>
      <c r="H84" s="91">
        <f t="shared" si="15"/>
        <v>0</v>
      </c>
      <c r="I84" s="91">
        <f t="shared" si="16"/>
        <v>0</v>
      </c>
    </row>
    <row r="85" spans="1:9" ht="15.75">
      <c r="A85" s="15" t="s">
        <v>24</v>
      </c>
      <c r="B85" s="3"/>
      <c r="C85" s="3"/>
      <c r="D85" s="3"/>
      <c r="E85" s="3"/>
      <c r="F85" s="91">
        <f t="shared" si="13"/>
        <v>0</v>
      </c>
      <c r="G85" s="91">
        <f t="shared" si="14"/>
        <v>0</v>
      </c>
      <c r="H85" s="91">
        <f t="shared" si="15"/>
        <v>0</v>
      </c>
      <c r="I85" s="91">
        <f t="shared" si="16"/>
        <v>0</v>
      </c>
    </row>
    <row r="86" spans="1:9" ht="15.75">
      <c r="A86" s="15" t="s">
        <v>25</v>
      </c>
      <c r="B86" s="3"/>
      <c r="C86" s="3"/>
      <c r="D86" s="3"/>
      <c r="E86" s="3"/>
      <c r="F86" s="91">
        <f t="shared" si="13"/>
        <v>0</v>
      </c>
      <c r="G86" s="91">
        <f t="shared" si="14"/>
        <v>0</v>
      </c>
      <c r="H86" s="91">
        <f t="shared" si="15"/>
        <v>0</v>
      </c>
      <c r="I86" s="91">
        <f t="shared" si="16"/>
        <v>0</v>
      </c>
    </row>
    <row r="87" spans="1:9" ht="15.75">
      <c r="A87" s="15" t="s">
        <v>26</v>
      </c>
      <c r="B87" s="3"/>
      <c r="C87" s="3"/>
      <c r="D87" s="3"/>
      <c r="E87" s="3"/>
      <c r="F87" s="91">
        <f t="shared" si="13"/>
        <v>0</v>
      </c>
      <c r="G87" s="91">
        <f t="shared" si="14"/>
        <v>0</v>
      </c>
      <c r="H87" s="91">
        <f t="shared" si="15"/>
        <v>0</v>
      </c>
      <c r="I87" s="91">
        <f t="shared" si="16"/>
        <v>0</v>
      </c>
    </row>
    <row r="88" spans="1:9" ht="15.75">
      <c r="A88" s="15" t="s">
        <v>27</v>
      </c>
      <c r="B88" s="3"/>
      <c r="C88" s="3"/>
      <c r="D88" s="3"/>
      <c r="E88" s="3"/>
      <c r="F88" s="91">
        <f t="shared" si="13"/>
        <v>0</v>
      </c>
      <c r="G88" s="91">
        <f t="shared" si="14"/>
        <v>0</v>
      </c>
      <c r="H88" s="91">
        <f t="shared" si="15"/>
        <v>0</v>
      </c>
      <c r="I88" s="91">
        <f t="shared" si="16"/>
        <v>0</v>
      </c>
    </row>
    <row r="89" spans="1:9" ht="15.75">
      <c r="A89" s="15" t="s">
        <v>28</v>
      </c>
      <c r="B89" s="3"/>
      <c r="C89" s="3"/>
      <c r="D89" s="3"/>
      <c r="E89" s="3"/>
      <c r="F89" s="91">
        <f t="shared" si="13"/>
        <v>0</v>
      </c>
      <c r="G89" s="91">
        <f t="shared" si="14"/>
        <v>0</v>
      </c>
      <c r="H89" s="91">
        <f t="shared" si="15"/>
        <v>0</v>
      </c>
      <c r="I89" s="91">
        <f t="shared" si="16"/>
        <v>0</v>
      </c>
    </row>
    <row r="90" spans="1:9" ht="15.75">
      <c r="A90" s="15" t="s">
        <v>29</v>
      </c>
      <c r="B90" s="3"/>
      <c r="C90" s="3"/>
      <c r="D90" s="3"/>
      <c r="E90" s="3"/>
      <c r="F90" s="91">
        <f t="shared" si="13"/>
        <v>0</v>
      </c>
      <c r="G90" s="91">
        <f t="shared" si="14"/>
        <v>0</v>
      </c>
      <c r="H90" s="91">
        <f t="shared" si="15"/>
        <v>0</v>
      </c>
      <c r="I90" s="91">
        <f t="shared" si="16"/>
        <v>0</v>
      </c>
    </row>
    <row r="91" spans="1:9" ht="15.75">
      <c r="A91" s="15" t="s">
        <v>30</v>
      </c>
      <c r="B91" s="3"/>
      <c r="C91" s="3"/>
      <c r="D91" s="3"/>
      <c r="E91" s="3"/>
      <c r="F91" s="91">
        <f t="shared" si="13"/>
        <v>0</v>
      </c>
      <c r="G91" s="91">
        <f t="shared" si="14"/>
        <v>0</v>
      </c>
      <c r="H91" s="91">
        <f t="shared" si="15"/>
        <v>0</v>
      </c>
      <c r="I91" s="91">
        <f t="shared" si="16"/>
        <v>0</v>
      </c>
    </row>
    <row r="92" spans="1:9" ht="31.5">
      <c r="A92" s="22" t="s">
        <v>31</v>
      </c>
      <c r="B92" s="3"/>
      <c r="C92" s="3"/>
      <c r="D92" s="3"/>
      <c r="E92" s="3"/>
      <c r="F92" s="91">
        <f t="shared" si="13"/>
        <v>0</v>
      </c>
      <c r="G92" s="91">
        <f t="shared" si="14"/>
        <v>0</v>
      </c>
      <c r="H92" s="91">
        <f t="shared" si="15"/>
        <v>0</v>
      </c>
      <c r="I92" s="91">
        <f t="shared" si="16"/>
        <v>0</v>
      </c>
    </row>
    <row r="93" spans="1:9" ht="15.75">
      <c r="A93" s="87" t="s">
        <v>40</v>
      </c>
      <c r="B93" s="38">
        <f>+SUM(B66:B92)</f>
        <v>12</v>
      </c>
      <c r="C93" s="38">
        <f>+SUM(C66:C92)</f>
        <v>12</v>
      </c>
      <c r="D93" s="38">
        <f>+SUM(D66:D92)</f>
        <v>11</v>
      </c>
      <c r="E93" s="38">
        <f>+SUM(E66:E92)</f>
        <v>8</v>
      </c>
      <c r="F93" s="91">
        <f t="shared" si="13"/>
        <v>0.2257336343115124</v>
      </c>
      <c r="G93" s="91">
        <f t="shared" si="14"/>
        <v>0.23961661341853036</v>
      </c>
      <c r="H93" s="91">
        <f t="shared" si="15"/>
        <v>0.39215686274509803</v>
      </c>
      <c r="I93" s="91">
        <f t="shared" si="16"/>
        <v>0.5287508261731658</v>
      </c>
    </row>
    <row r="94" spans="1:9" ht="15.75">
      <c r="A94" s="17"/>
      <c r="B94" s="6"/>
      <c r="C94" s="6"/>
      <c r="D94" s="6"/>
      <c r="I94" s="6"/>
    </row>
  </sheetData>
  <sheetProtection/>
  <mergeCells count="3">
    <mergeCell ref="A2:J2"/>
    <mergeCell ref="A33:J33"/>
    <mergeCell ref="A1:J1"/>
  </mergeCells>
  <printOptions/>
  <pageMargins left="0.75" right="0.75" top="0.17" bottom="0.17" header="0.17" footer="0.17"/>
  <pageSetup horizontalDpi="600" verticalDpi="600" orientation="landscape" paperSize="9" scale="96" r:id="rId1"/>
  <rowBreaks count="1" manualBreakCount="1">
    <brk id="3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32"/>
  <sheetViews>
    <sheetView view="pageBreakPreview" zoomScaleSheetLayoutView="100" workbookViewId="0" topLeftCell="A28">
      <selection activeCell="E15" sqref="E15"/>
    </sheetView>
  </sheetViews>
  <sheetFormatPr defaultColWidth="9.00390625" defaultRowHeight="15.75"/>
  <cols>
    <col min="1" max="1" width="24.125" style="0" customWidth="1"/>
    <col min="2" max="10" width="10.625" style="0" customWidth="1"/>
  </cols>
  <sheetData>
    <row r="1" spans="1:10" ht="20.25">
      <c r="A1" s="463" t="s">
        <v>197</v>
      </c>
      <c r="B1" s="463"/>
      <c r="C1" s="463"/>
      <c r="D1" s="463"/>
      <c r="E1" s="463"/>
      <c r="F1" s="463"/>
      <c r="G1" s="463"/>
      <c r="H1" s="463"/>
      <c r="I1" s="463"/>
      <c r="J1" s="463"/>
    </row>
    <row r="2" spans="1:10" ht="16.5" thickBot="1">
      <c r="A2" s="469" t="s">
        <v>38</v>
      </c>
      <c r="B2" s="469"/>
      <c r="C2" s="469"/>
      <c r="D2" s="469"/>
      <c r="E2" s="469"/>
      <c r="F2" s="469"/>
      <c r="G2" s="469"/>
      <c r="H2" s="469"/>
      <c r="I2" s="469"/>
      <c r="J2" s="469"/>
    </row>
    <row r="3" spans="1:10" ht="32.25" thickBot="1">
      <c r="A3" s="53" t="s">
        <v>53</v>
      </c>
      <c r="B3" s="54" t="s">
        <v>44</v>
      </c>
      <c r="C3" s="54" t="s">
        <v>45</v>
      </c>
      <c r="D3" s="55" t="s">
        <v>46</v>
      </c>
      <c r="E3" s="55" t="s">
        <v>47</v>
      </c>
      <c r="F3" s="55" t="s">
        <v>48</v>
      </c>
      <c r="G3" s="56" t="s">
        <v>49</v>
      </c>
      <c r="H3" s="56" t="s">
        <v>50</v>
      </c>
      <c r="I3" s="56" t="s">
        <v>51</v>
      </c>
      <c r="J3" s="57" t="s">
        <v>52</v>
      </c>
    </row>
    <row r="4" spans="1:10" ht="31.5">
      <c r="A4" s="51" t="s">
        <v>5</v>
      </c>
      <c r="B4" s="52">
        <v>120</v>
      </c>
      <c r="C4" s="52">
        <v>329</v>
      </c>
      <c r="D4" s="52">
        <v>253</v>
      </c>
      <c r="E4" s="52">
        <v>210</v>
      </c>
      <c r="F4" s="52">
        <v>173</v>
      </c>
      <c r="G4" s="88">
        <f>_xlfn.IFERROR(C4/B4,0)</f>
        <v>2.7416666666666667</v>
      </c>
      <c r="H4" s="88">
        <f>_xlfn.IFERROR(E4/D4,0)</f>
        <v>0.8300395256916996</v>
      </c>
      <c r="I4" s="88">
        <f>_xlfn.IFERROR(F4/E4,0)</f>
        <v>0.8238095238095238</v>
      </c>
      <c r="J4" s="88">
        <f>_xlfn.IFERROR(F4/B4,0)</f>
        <v>1.4416666666666667</v>
      </c>
    </row>
    <row r="5" spans="1:10" ht="15.75">
      <c r="A5" s="15" t="s">
        <v>6</v>
      </c>
      <c r="B5" s="3">
        <f>150+70</f>
        <v>220</v>
      </c>
      <c r="C5" s="3">
        <f>133+26</f>
        <v>159</v>
      </c>
      <c r="D5" s="3">
        <f>94+23</f>
        <v>117</v>
      </c>
      <c r="E5" s="3">
        <f>88+23</f>
        <v>111</v>
      </c>
      <c r="F5" s="3">
        <f>82+22</f>
        <v>104</v>
      </c>
      <c r="G5" s="89">
        <f aca="true" t="shared" si="0" ref="G5:G27">_xlfn.IFERROR(C5/B5,0)</f>
        <v>0.7227272727272728</v>
      </c>
      <c r="H5" s="89">
        <f aca="true" t="shared" si="1" ref="H5:H27">_xlfn.IFERROR(E5/D5,0)</f>
        <v>0.9487179487179487</v>
      </c>
      <c r="I5" s="89">
        <f aca="true" t="shared" si="2" ref="I5:I27">_xlfn.IFERROR(F5/E5,0)</f>
        <v>0.9369369369369369</v>
      </c>
      <c r="J5" s="89">
        <f aca="true" t="shared" si="3" ref="J5:J27">_xlfn.IFERROR(F5/B5,0)</f>
        <v>0.4727272727272727</v>
      </c>
    </row>
    <row r="6" spans="1:10" ht="15.75">
      <c r="A6" s="15" t="s">
        <v>7</v>
      </c>
      <c r="B6" s="3"/>
      <c r="C6" s="3"/>
      <c r="D6" s="3"/>
      <c r="E6" s="3"/>
      <c r="F6" s="3"/>
      <c r="G6" s="89">
        <f t="shared" si="0"/>
        <v>0</v>
      </c>
      <c r="H6" s="89">
        <f t="shared" si="1"/>
        <v>0</v>
      </c>
      <c r="I6" s="89">
        <f t="shared" si="2"/>
        <v>0</v>
      </c>
      <c r="J6" s="89">
        <f t="shared" si="3"/>
        <v>0</v>
      </c>
    </row>
    <row r="7" spans="1:10" ht="31.5">
      <c r="A7" s="15" t="s">
        <v>8</v>
      </c>
      <c r="B7" s="3">
        <f>50+60</f>
        <v>110</v>
      </c>
      <c r="C7" s="3">
        <f>110+81</f>
        <v>191</v>
      </c>
      <c r="D7" s="3">
        <f>96+81</f>
        <v>177</v>
      </c>
      <c r="E7" s="3">
        <f>42+68</f>
        <v>110</v>
      </c>
      <c r="F7" s="3">
        <f>34+47</f>
        <v>81</v>
      </c>
      <c r="G7" s="89">
        <f t="shared" si="0"/>
        <v>1.7363636363636363</v>
      </c>
      <c r="H7" s="89">
        <f t="shared" si="1"/>
        <v>0.6214689265536724</v>
      </c>
      <c r="I7" s="89">
        <f t="shared" si="2"/>
        <v>0.7363636363636363</v>
      </c>
      <c r="J7" s="89">
        <f t="shared" si="3"/>
        <v>0.7363636363636363</v>
      </c>
    </row>
    <row r="8" spans="1:10" ht="15.75">
      <c r="A8" s="15" t="s">
        <v>9</v>
      </c>
      <c r="B8" s="3"/>
      <c r="C8" s="3"/>
      <c r="D8" s="3"/>
      <c r="E8" s="3"/>
      <c r="F8" s="3"/>
      <c r="G8" s="89">
        <f t="shared" si="0"/>
        <v>0</v>
      </c>
      <c r="H8" s="89">
        <f t="shared" si="1"/>
        <v>0</v>
      </c>
      <c r="I8" s="89">
        <f t="shared" si="2"/>
        <v>0</v>
      </c>
      <c r="J8" s="89">
        <f t="shared" si="3"/>
        <v>0</v>
      </c>
    </row>
    <row r="9" spans="1:10" ht="15.75">
      <c r="A9" s="15" t="s">
        <v>10</v>
      </c>
      <c r="B9" s="3"/>
      <c r="C9" s="3"/>
      <c r="D9" s="3"/>
      <c r="E9" s="3"/>
      <c r="F9" s="3"/>
      <c r="G9" s="89">
        <f t="shared" si="0"/>
        <v>0</v>
      </c>
      <c r="H9" s="89">
        <f t="shared" si="1"/>
        <v>0</v>
      </c>
      <c r="I9" s="89">
        <f t="shared" si="2"/>
        <v>0</v>
      </c>
      <c r="J9" s="89">
        <f t="shared" si="3"/>
        <v>0</v>
      </c>
    </row>
    <row r="10" spans="1:10" ht="15.75">
      <c r="A10" s="15" t="s">
        <v>11</v>
      </c>
      <c r="B10" s="3">
        <v>350</v>
      </c>
      <c r="C10" s="3">
        <v>357</v>
      </c>
      <c r="D10" s="3">
        <v>348</v>
      </c>
      <c r="E10" s="3">
        <v>348</v>
      </c>
      <c r="F10" s="3">
        <v>342</v>
      </c>
      <c r="G10" s="89">
        <f t="shared" si="0"/>
        <v>1.02</v>
      </c>
      <c r="H10" s="89">
        <f t="shared" si="1"/>
        <v>1</v>
      </c>
      <c r="I10" s="89">
        <f t="shared" si="2"/>
        <v>0.9827586206896551</v>
      </c>
      <c r="J10" s="89">
        <f t="shared" si="3"/>
        <v>0.9771428571428571</v>
      </c>
    </row>
    <row r="11" spans="1:10" ht="15.75">
      <c r="A11" s="15" t="s">
        <v>12</v>
      </c>
      <c r="B11" s="3"/>
      <c r="C11" s="3"/>
      <c r="D11" s="3"/>
      <c r="E11" s="3"/>
      <c r="F11" s="3"/>
      <c r="G11" s="89">
        <f t="shared" si="0"/>
        <v>0</v>
      </c>
      <c r="H11" s="89">
        <f t="shared" si="1"/>
        <v>0</v>
      </c>
      <c r="I11" s="89">
        <f t="shared" si="2"/>
        <v>0</v>
      </c>
      <c r="J11" s="89">
        <f t="shared" si="3"/>
        <v>0</v>
      </c>
    </row>
    <row r="12" spans="1:10" ht="15.75">
      <c r="A12" s="15" t="s">
        <v>13</v>
      </c>
      <c r="B12" s="2"/>
      <c r="C12" s="2"/>
      <c r="D12" s="2"/>
      <c r="E12" s="2"/>
      <c r="F12" s="2"/>
      <c r="G12" s="89">
        <f t="shared" si="0"/>
        <v>0</v>
      </c>
      <c r="H12" s="89">
        <f t="shared" si="1"/>
        <v>0</v>
      </c>
      <c r="I12" s="89">
        <f t="shared" si="2"/>
        <v>0</v>
      </c>
      <c r="J12" s="89">
        <f t="shared" si="3"/>
        <v>0</v>
      </c>
    </row>
    <row r="13" spans="1:10" ht="31.5">
      <c r="A13" s="15" t="s">
        <v>14</v>
      </c>
      <c r="B13" s="22"/>
      <c r="C13" s="22"/>
      <c r="D13" s="2"/>
      <c r="E13" s="2"/>
      <c r="F13" s="2"/>
      <c r="G13" s="89">
        <f t="shared" si="0"/>
        <v>0</v>
      </c>
      <c r="H13" s="89">
        <f t="shared" si="1"/>
        <v>0</v>
      </c>
      <c r="I13" s="89">
        <f t="shared" si="2"/>
        <v>0</v>
      </c>
      <c r="J13" s="89">
        <f t="shared" si="3"/>
        <v>0</v>
      </c>
    </row>
    <row r="14" spans="1:10" ht="15.75">
      <c r="A14" s="15" t="s">
        <v>15</v>
      </c>
      <c r="B14" s="3"/>
      <c r="C14" s="3"/>
      <c r="D14" s="3"/>
      <c r="E14" s="3"/>
      <c r="F14" s="3"/>
      <c r="G14" s="89">
        <f t="shared" si="0"/>
        <v>0</v>
      </c>
      <c r="H14" s="89">
        <f t="shared" si="1"/>
        <v>0</v>
      </c>
      <c r="I14" s="89">
        <f t="shared" si="2"/>
        <v>0</v>
      </c>
      <c r="J14" s="89">
        <f t="shared" si="3"/>
        <v>0</v>
      </c>
    </row>
    <row r="15" spans="1:10" ht="47.25">
      <c r="A15" s="15" t="s">
        <v>16</v>
      </c>
      <c r="B15" s="3"/>
      <c r="C15" s="3"/>
      <c r="D15" s="3"/>
      <c r="E15" s="3"/>
      <c r="F15" s="3"/>
      <c r="G15" s="89">
        <f t="shared" si="0"/>
        <v>0</v>
      </c>
      <c r="H15" s="89">
        <f t="shared" si="1"/>
        <v>0</v>
      </c>
      <c r="I15" s="89">
        <f t="shared" si="2"/>
        <v>0</v>
      </c>
      <c r="J15" s="89">
        <f t="shared" si="3"/>
        <v>0</v>
      </c>
    </row>
    <row r="16" spans="1:10" ht="15.75">
      <c r="A16" s="15" t="s">
        <v>17</v>
      </c>
      <c r="B16" s="3"/>
      <c r="C16" s="3"/>
      <c r="D16" s="3"/>
      <c r="E16" s="3"/>
      <c r="F16" s="3"/>
      <c r="G16" s="89">
        <f t="shared" si="0"/>
        <v>0</v>
      </c>
      <c r="H16" s="89">
        <f t="shared" si="1"/>
        <v>0</v>
      </c>
      <c r="I16" s="89">
        <f t="shared" si="2"/>
        <v>0</v>
      </c>
      <c r="J16" s="89">
        <f t="shared" si="3"/>
        <v>0</v>
      </c>
    </row>
    <row r="17" spans="1:10" ht="15.75">
      <c r="A17" s="15" t="s">
        <v>18</v>
      </c>
      <c r="B17" s="3"/>
      <c r="C17" s="3"/>
      <c r="D17" s="3"/>
      <c r="E17" s="3"/>
      <c r="F17" s="3"/>
      <c r="G17" s="89">
        <f t="shared" si="0"/>
        <v>0</v>
      </c>
      <c r="H17" s="89">
        <f t="shared" si="1"/>
        <v>0</v>
      </c>
      <c r="I17" s="89">
        <f t="shared" si="2"/>
        <v>0</v>
      </c>
      <c r="J17" s="89">
        <f t="shared" si="3"/>
        <v>0</v>
      </c>
    </row>
    <row r="18" spans="1:10" ht="15.75">
      <c r="A18" s="15" t="s">
        <v>19</v>
      </c>
      <c r="B18" s="3"/>
      <c r="C18" s="3"/>
      <c r="D18" s="3"/>
      <c r="E18" s="3"/>
      <c r="F18" s="3"/>
      <c r="G18" s="89">
        <f t="shared" si="0"/>
        <v>0</v>
      </c>
      <c r="H18" s="89">
        <f t="shared" si="1"/>
        <v>0</v>
      </c>
      <c r="I18" s="89">
        <f t="shared" si="2"/>
        <v>0</v>
      </c>
      <c r="J18" s="89">
        <f t="shared" si="3"/>
        <v>0</v>
      </c>
    </row>
    <row r="19" spans="1:10" ht="15.75">
      <c r="A19" s="15" t="s">
        <v>20</v>
      </c>
      <c r="B19" s="3"/>
      <c r="C19" s="3"/>
      <c r="D19" s="3"/>
      <c r="E19" s="3"/>
      <c r="F19" s="3"/>
      <c r="G19" s="89">
        <f t="shared" si="0"/>
        <v>0</v>
      </c>
      <c r="H19" s="89">
        <f t="shared" si="1"/>
        <v>0</v>
      </c>
      <c r="I19" s="89">
        <f t="shared" si="2"/>
        <v>0</v>
      </c>
      <c r="J19" s="89">
        <f t="shared" si="3"/>
        <v>0</v>
      </c>
    </row>
    <row r="20" spans="1:10" ht="15.75">
      <c r="A20" s="15" t="s">
        <v>21</v>
      </c>
      <c r="B20" s="3"/>
      <c r="C20" s="3"/>
      <c r="D20" s="3"/>
      <c r="E20" s="3"/>
      <c r="F20" s="3"/>
      <c r="G20" s="89">
        <f t="shared" si="0"/>
        <v>0</v>
      </c>
      <c r="H20" s="89">
        <f t="shared" si="1"/>
        <v>0</v>
      </c>
      <c r="I20" s="89">
        <f t="shared" si="2"/>
        <v>0</v>
      </c>
      <c r="J20" s="89">
        <f t="shared" si="3"/>
        <v>0</v>
      </c>
    </row>
    <row r="21" spans="1:10" ht="15.75">
      <c r="A21" s="15" t="s">
        <v>22</v>
      </c>
      <c r="B21" s="3"/>
      <c r="C21" s="3"/>
      <c r="D21" s="3"/>
      <c r="E21" s="3"/>
      <c r="F21" s="3"/>
      <c r="G21" s="89">
        <f t="shared" si="0"/>
        <v>0</v>
      </c>
      <c r="H21" s="89">
        <f t="shared" si="1"/>
        <v>0</v>
      </c>
      <c r="I21" s="89">
        <f t="shared" si="2"/>
        <v>0</v>
      </c>
      <c r="J21" s="89">
        <f t="shared" si="3"/>
        <v>0</v>
      </c>
    </row>
    <row r="22" spans="1:11" ht="15.75">
      <c r="A22" s="15" t="s">
        <v>23</v>
      </c>
      <c r="B22" s="3"/>
      <c r="C22" s="3"/>
      <c r="D22" s="3"/>
      <c r="E22" s="3"/>
      <c r="F22" s="3"/>
      <c r="G22" s="89">
        <f t="shared" si="0"/>
        <v>0</v>
      </c>
      <c r="H22" s="89">
        <f t="shared" si="1"/>
        <v>0</v>
      </c>
      <c r="I22" s="89">
        <f t="shared" si="2"/>
        <v>0</v>
      </c>
      <c r="J22" s="89">
        <f t="shared" si="3"/>
        <v>0</v>
      </c>
      <c r="K22" s="6"/>
    </row>
    <row r="23" spans="1:11" ht="15.75">
      <c r="A23" s="15" t="s">
        <v>24</v>
      </c>
      <c r="B23" s="3">
        <v>60</v>
      </c>
      <c r="C23" s="3">
        <v>72</v>
      </c>
      <c r="D23" s="3">
        <v>72</v>
      </c>
      <c r="E23" s="3">
        <v>63</v>
      </c>
      <c r="F23" s="3">
        <v>44</v>
      </c>
      <c r="G23" s="89">
        <f t="shared" si="0"/>
        <v>1.2</v>
      </c>
      <c r="H23" s="89">
        <f t="shared" si="1"/>
        <v>0.875</v>
      </c>
      <c r="I23" s="89">
        <f t="shared" si="2"/>
        <v>0.6984126984126984</v>
      </c>
      <c r="J23" s="89">
        <f t="shared" si="3"/>
        <v>0.7333333333333333</v>
      </c>
      <c r="K23" s="6"/>
    </row>
    <row r="24" spans="1:11" ht="15.75">
      <c r="A24" s="15" t="s">
        <v>25</v>
      </c>
      <c r="B24" s="3"/>
      <c r="C24" s="3"/>
      <c r="D24" s="3"/>
      <c r="E24" s="3"/>
      <c r="F24" s="3"/>
      <c r="G24" s="89">
        <f t="shared" si="0"/>
        <v>0</v>
      </c>
      <c r="H24" s="89">
        <f t="shared" si="1"/>
        <v>0</v>
      </c>
      <c r="I24" s="89">
        <f t="shared" si="2"/>
        <v>0</v>
      </c>
      <c r="J24" s="89">
        <f t="shared" si="3"/>
        <v>0</v>
      </c>
      <c r="K24" s="6"/>
    </row>
    <row r="25" spans="1:11" ht="15.75">
      <c r="A25" s="15" t="s">
        <v>26</v>
      </c>
      <c r="B25" s="3"/>
      <c r="C25" s="3"/>
      <c r="D25" s="3"/>
      <c r="E25" s="3"/>
      <c r="F25" s="3"/>
      <c r="G25" s="89">
        <f t="shared" si="0"/>
        <v>0</v>
      </c>
      <c r="H25" s="89">
        <f t="shared" si="1"/>
        <v>0</v>
      </c>
      <c r="I25" s="89">
        <f t="shared" si="2"/>
        <v>0</v>
      </c>
      <c r="J25" s="89">
        <f t="shared" si="3"/>
        <v>0</v>
      </c>
      <c r="K25" s="6"/>
    </row>
    <row r="26" spans="1:11" ht="15.75">
      <c r="A26" s="15" t="s">
        <v>27</v>
      </c>
      <c r="B26" s="3"/>
      <c r="C26" s="3"/>
      <c r="D26" s="3"/>
      <c r="E26" s="3"/>
      <c r="F26" s="3"/>
      <c r="G26" s="89">
        <f t="shared" si="0"/>
        <v>0</v>
      </c>
      <c r="H26" s="89">
        <f t="shared" si="1"/>
        <v>0</v>
      </c>
      <c r="I26" s="89">
        <f t="shared" si="2"/>
        <v>0</v>
      </c>
      <c r="J26" s="89">
        <f t="shared" si="3"/>
        <v>0</v>
      </c>
      <c r="K26" s="6"/>
    </row>
    <row r="27" spans="1:11" ht="15.75">
      <c r="A27" s="15" t="s">
        <v>28</v>
      </c>
      <c r="B27" s="3"/>
      <c r="C27" s="3"/>
      <c r="D27" s="3"/>
      <c r="E27" s="3"/>
      <c r="F27" s="3"/>
      <c r="G27" s="89">
        <f t="shared" si="0"/>
        <v>0</v>
      </c>
      <c r="H27" s="89">
        <f t="shared" si="1"/>
        <v>0</v>
      </c>
      <c r="I27" s="89">
        <f t="shared" si="2"/>
        <v>0</v>
      </c>
      <c r="J27" s="89">
        <f t="shared" si="3"/>
        <v>0</v>
      </c>
      <c r="K27" s="6"/>
    </row>
    <row r="28" spans="1:11" ht="15.75">
      <c r="A28" s="15" t="s">
        <v>29</v>
      </c>
      <c r="B28" s="3"/>
      <c r="C28" s="3"/>
      <c r="D28" s="3"/>
      <c r="E28" s="3"/>
      <c r="F28" s="3"/>
      <c r="G28" s="89">
        <f>_xlfn.IFERROR(C28/B28,0)</f>
        <v>0</v>
      </c>
      <c r="H28" s="89">
        <f aca="true" t="shared" si="4" ref="H28:I31">_xlfn.IFERROR(E28/D28,0)</f>
        <v>0</v>
      </c>
      <c r="I28" s="89">
        <f t="shared" si="4"/>
        <v>0</v>
      </c>
      <c r="J28" s="89">
        <f>_xlfn.IFERROR(F28/B28,0)</f>
        <v>0</v>
      </c>
      <c r="K28" s="6"/>
    </row>
    <row r="29" spans="1:11" ht="15.75">
      <c r="A29" s="15" t="s">
        <v>30</v>
      </c>
      <c r="B29" s="3"/>
      <c r="C29" s="3"/>
      <c r="D29" s="3"/>
      <c r="E29" s="3"/>
      <c r="F29" s="3"/>
      <c r="G29" s="89">
        <f>_xlfn.IFERROR(C29/B29,0)</f>
        <v>0</v>
      </c>
      <c r="H29" s="89">
        <f t="shared" si="4"/>
        <v>0</v>
      </c>
      <c r="I29" s="89">
        <f t="shared" si="4"/>
        <v>0</v>
      </c>
      <c r="J29" s="89">
        <f>_xlfn.IFERROR(F29/B29,0)</f>
        <v>0</v>
      </c>
      <c r="K29" s="6"/>
    </row>
    <row r="30" spans="1:10" ht="31.5">
      <c r="A30" s="22" t="s">
        <v>31</v>
      </c>
      <c r="B30" s="2"/>
      <c r="C30" s="2"/>
      <c r="D30" s="2"/>
      <c r="E30" s="2"/>
      <c r="F30" s="2"/>
      <c r="G30" s="89">
        <f>_xlfn.IFERROR(C30/B30,0)</f>
        <v>0</v>
      </c>
      <c r="H30" s="89">
        <f t="shared" si="4"/>
        <v>0</v>
      </c>
      <c r="I30" s="89">
        <f t="shared" si="4"/>
        <v>0</v>
      </c>
      <c r="J30" s="89">
        <f>_xlfn.IFERROR(F30/B30,0)</f>
        <v>0</v>
      </c>
    </row>
    <row r="31" spans="1:10" ht="15.75">
      <c r="A31" s="87" t="s">
        <v>40</v>
      </c>
      <c r="B31" s="39">
        <f>SUM(B4:B30)</f>
        <v>860</v>
      </c>
      <c r="C31" s="39">
        <f>SUM(C4:C30)</f>
        <v>1108</v>
      </c>
      <c r="D31" s="39">
        <f>SUM(D4:D30)</f>
        <v>967</v>
      </c>
      <c r="E31" s="39">
        <f>SUM(E4:E30)</f>
        <v>842</v>
      </c>
      <c r="F31" s="39">
        <f>SUM(F4:F30)</f>
        <v>744</v>
      </c>
      <c r="G31" s="89">
        <f>_xlfn.IFERROR(C31/B31,0)</f>
        <v>1.2883720930232558</v>
      </c>
      <c r="H31" s="89">
        <f t="shared" si="4"/>
        <v>0.8707342295760083</v>
      </c>
      <c r="I31" s="89">
        <f t="shared" si="4"/>
        <v>0.8836104513064132</v>
      </c>
      <c r="J31" s="89">
        <f>_xlfn.IFERROR(F31/B31,0)</f>
        <v>0.8651162790697674</v>
      </c>
    </row>
    <row r="32" spans="1:10" ht="15.75">
      <c r="A32" s="8"/>
      <c r="B32" s="6"/>
      <c r="C32" s="6"/>
      <c r="D32" s="6"/>
      <c r="E32" s="6"/>
      <c r="F32" s="6"/>
      <c r="G32" s="6"/>
      <c r="H32" s="6"/>
      <c r="J32" s="6"/>
    </row>
    <row r="33" spans="1:10" ht="16.5" thickBot="1">
      <c r="A33" s="469" t="s">
        <v>39</v>
      </c>
      <c r="B33" s="470"/>
      <c r="C33" s="470"/>
      <c r="D33" s="470"/>
      <c r="E33" s="470"/>
      <c r="F33" s="470"/>
      <c r="G33" s="470"/>
      <c r="H33" s="470"/>
      <c r="I33" s="470"/>
      <c r="J33" s="470"/>
    </row>
    <row r="34" spans="1:10" ht="32.25" thickBot="1">
      <c r="A34" s="53" t="s">
        <v>53</v>
      </c>
      <c r="B34" s="54" t="s">
        <v>44</v>
      </c>
      <c r="C34" s="54" t="s">
        <v>45</v>
      </c>
      <c r="D34" s="55" t="s">
        <v>46</v>
      </c>
      <c r="E34" s="55" t="s">
        <v>47</v>
      </c>
      <c r="F34" s="55" t="s">
        <v>48</v>
      </c>
      <c r="G34" s="70" t="s">
        <v>49</v>
      </c>
      <c r="H34" s="70" t="s">
        <v>50</v>
      </c>
      <c r="I34" s="70" t="s">
        <v>51</v>
      </c>
      <c r="J34" s="71" t="s">
        <v>52</v>
      </c>
    </row>
    <row r="35" spans="1:10" ht="31.5">
      <c r="A35" s="51" t="s">
        <v>5</v>
      </c>
      <c r="B35" s="52">
        <v>160</v>
      </c>
      <c r="C35" s="52">
        <v>204</v>
      </c>
      <c r="D35" s="52">
        <v>204</v>
      </c>
      <c r="E35" s="52">
        <v>155</v>
      </c>
      <c r="F35" s="52">
        <v>108</v>
      </c>
      <c r="G35" s="88">
        <f>_xlfn.IFERROR(C35/B35,0)</f>
        <v>1.275</v>
      </c>
      <c r="H35" s="88">
        <f>_xlfn.IFERROR(E35/D35,0)</f>
        <v>0.7598039215686274</v>
      </c>
      <c r="I35" s="88">
        <f>_xlfn.IFERROR(F35/E35,0)</f>
        <v>0.6967741935483871</v>
      </c>
      <c r="J35" s="88">
        <f>_xlfn.IFERROR(F35/B35,0)</f>
        <v>0.675</v>
      </c>
    </row>
    <row r="36" spans="1:10" ht="15.75">
      <c r="A36" s="15" t="s">
        <v>6</v>
      </c>
      <c r="B36" s="3">
        <f>20+30</f>
        <v>50</v>
      </c>
      <c r="C36" s="3">
        <f>7+16</f>
        <v>23</v>
      </c>
      <c r="D36" s="3">
        <f>5+14</f>
        <v>19</v>
      </c>
      <c r="E36" s="3">
        <f>0+14</f>
        <v>14</v>
      </c>
      <c r="F36" s="3">
        <f>0+14</f>
        <v>14</v>
      </c>
      <c r="G36" s="89">
        <f aca="true" t="shared" si="5" ref="G36:G47">_xlfn.IFERROR(C36/B36,0)</f>
        <v>0.46</v>
      </c>
      <c r="H36" s="89">
        <f aca="true" t="shared" si="6" ref="H36:H47">_xlfn.IFERROR(E36/D36,0)</f>
        <v>0.7368421052631579</v>
      </c>
      <c r="I36" s="89">
        <f aca="true" t="shared" si="7" ref="I36:I47">_xlfn.IFERROR(F36/E36,0)</f>
        <v>1</v>
      </c>
      <c r="J36" s="89">
        <f aca="true" t="shared" si="8" ref="J36:J47">_xlfn.IFERROR(F36/B36,0)</f>
        <v>0.28</v>
      </c>
    </row>
    <row r="37" spans="1:10" ht="15.75">
      <c r="A37" s="15" t="s">
        <v>7</v>
      </c>
      <c r="B37" s="3"/>
      <c r="C37" s="3"/>
      <c r="D37" s="3"/>
      <c r="E37" s="3"/>
      <c r="F37" s="3"/>
      <c r="G37" s="89">
        <f t="shared" si="5"/>
        <v>0</v>
      </c>
      <c r="H37" s="89">
        <f t="shared" si="6"/>
        <v>0</v>
      </c>
      <c r="I37" s="89">
        <f t="shared" si="7"/>
        <v>0</v>
      </c>
      <c r="J37" s="89">
        <f t="shared" si="8"/>
        <v>0</v>
      </c>
    </row>
    <row r="38" spans="1:10" ht="31.5">
      <c r="A38" s="15" t="s">
        <v>8</v>
      </c>
      <c r="B38" s="3">
        <v>100</v>
      </c>
      <c r="C38" s="3">
        <v>82</v>
      </c>
      <c r="D38" s="3">
        <v>82</v>
      </c>
      <c r="E38" s="3">
        <v>70</v>
      </c>
      <c r="F38" s="3">
        <v>62</v>
      </c>
      <c r="G38" s="89">
        <f t="shared" si="5"/>
        <v>0.82</v>
      </c>
      <c r="H38" s="89">
        <f t="shared" si="6"/>
        <v>0.8536585365853658</v>
      </c>
      <c r="I38" s="89">
        <f t="shared" si="7"/>
        <v>0.8857142857142857</v>
      </c>
      <c r="J38" s="89">
        <f t="shared" si="8"/>
        <v>0.62</v>
      </c>
    </row>
    <row r="39" spans="1:10" ht="15.75">
      <c r="A39" s="15" t="s">
        <v>9</v>
      </c>
      <c r="B39" s="3"/>
      <c r="C39" s="3"/>
      <c r="D39" s="3"/>
      <c r="E39" s="3"/>
      <c r="F39" s="3"/>
      <c r="G39" s="89">
        <f t="shared" si="5"/>
        <v>0</v>
      </c>
      <c r="H39" s="89">
        <f t="shared" si="6"/>
        <v>0</v>
      </c>
      <c r="I39" s="89">
        <f t="shared" si="7"/>
        <v>0</v>
      </c>
      <c r="J39" s="89">
        <f t="shared" si="8"/>
        <v>0</v>
      </c>
    </row>
    <row r="40" spans="1:10" ht="15.75">
      <c r="A40" s="15" t="s">
        <v>10</v>
      </c>
      <c r="B40" s="3"/>
      <c r="C40" s="3"/>
      <c r="D40" s="3"/>
      <c r="E40" s="3"/>
      <c r="F40" s="3"/>
      <c r="G40" s="89">
        <f t="shared" si="5"/>
        <v>0</v>
      </c>
      <c r="H40" s="89">
        <f t="shared" si="6"/>
        <v>0</v>
      </c>
      <c r="I40" s="89">
        <f t="shared" si="7"/>
        <v>0</v>
      </c>
      <c r="J40" s="89">
        <f t="shared" si="8"/>
        <v>0</v>
      </c>
    </row>
    <row r="41" spans="1:10" ht="15.75">
      <c r="A41" s="15" t="s">
        <v>11</v>
      </c>
      <c r="B41" s="3">
        <v>150</v>
      </c>
      <c r="C41" s="3">
        <v>145</v>
      </c>
      <c r="D41" s="3">
        <v>138</v>
      </c>
      <c r="E41" s="3">
        <v>137</v>
      </c>
      <c r="F41" s="3">
        <v>121</v>
      </c>
      <c r="G41" s="89">
        <f t="shared" si="5"/>
        <v>0.9666666666666667</v>
      </c>
      <c r="H41" s="89">
        <f t="shared" si="6"/>
        <v>0.9927536231884058</v>
      </c>
      <c r="I41" s="89">
        <f t="shared" si="7"/>
        <v>0.8832116788321168</v>
      </c>
      <c r="J41" s="89">
        <f t="shared" si="8"/>
        <v>0.8066666666666666</v>
      </c>
    </row>
    <row r="42" spans="1:10" ht="15.75">
      <c r="A42" s="15" t="s">
        <v>12</v>
      </c>
      <c r="B42" s="3"/>
      <c r="C42" s="3"/>
      <c r="D42" s="3"/>
      <c r="E42" s="3"/>
      <c r="F42" s="3"/>
      <c r="G42" s="89">
        <f t="shared" si="5"/>
        <v>0</v>
      </c>
      <c r="H42" s="89">
        <f t="shared" si="6"/>
        <v>0</v>
      </c>
      <c r="I42" s="89">
        <f t="shared" si="7"/>
        <v>0</v>
      </c>
      <c r="J42" s="89">
        <f t="shared" si="8"/>
        <v>0</v>
      </c>
    </row>
    <row r="43" spans="1:10" ht="15.75">
      <c r="A43" s="15" t="s">
        <v>13</v>
      </c>
      <c r="B43" s="2"/>
      <c r="C43" s="2"/>
      <c r="D43" s="2"/>
      <c r="E43" s="2"/>
      <c r="F43" s="2"/>
      <c r="G43" s="89">
        <f t="shared" si="5"/>
        <v>0</v>
      </c>
      <c r="H43" s="89">
        <f t="shared" si="6"/>
        <v>0</v>
      </c>
      <c r="I43" s="89">
        <f t="shared" si="7"/>
        <v>0</v>
      </c>
      <c r="J43" s="89">
        <f t="shared" si="8"/>
        <v>0</v>
      </c>
    </row>
    <row r="44" spans="1:10" ht="31.5">
      <c r="A44" s="15" t="s">
        <v>14</v>
      </c>
      <c r="B44" s="22"/>
      <c r="C44" s="22"/>
      <c r="D44" s="2"/>
      <c r="E44" s="2"/>
      <c r="F44" s="2"/>
      <c r="G44" s="89">
        <f t="shared" si="5"/>
        <v>0</v>
      </c>
      <c r="H44" s="89">
        <f t="shared" si="6"/>
        <v>0</v>
      </c>
      <c r="I44" s="89">
        <f t="shared" si="7"/>
        <v>0</v>
      </c>
      <c r="J44" s="89">
        <f t="shared" si="8"/>
        <v>0</v>
      </c>
    </row>
    <row r="45" spans="1:10" ht="15.75">
      <c r="A45" s="15" t="s">
        <v>15</v>
      </c>
      <c r="B45" s="3"/>
      <c r="C45" s="3"/>
      <c r="D45" s="3"/>
      <c r="E45" s="3"/>
      <c r="F45" s="3"/>
      <c r="G45" s="89">
        <f t="shared" si="5"/>
        <v>0</v>
      </c>
      <c r="H45" s="89">
        <f t="shared" si="6"/>
        <v>0</v>
      </c>
      <c r="I45" s="89">
        <f t="shared" si="7"/>
        <v>0</v>
      </c>
      <c r="J45" s="89">
        <f t="shared" si="8"/>
        <v>0</v>
      </c>
    </row>
    <row r="46" spans="1:10" ht="47.25">
      <c r="A46" s="15" t="s">
        <v>16</v>
      </c>
      <c r="B46" s="3"/>
      <c r="C46" s="3"/>
      <c r="D46" s="3"/>
      <c r="E46" s="3"/>
      <c r="F46" s="3"/>
      <c r="G46" s="89">
        <f t="shared" si="5"/>
        <v>0</v>
      </c>
      <c r="H46" s="89">
        <f t="shared" si="6"/>
        <v>0</v>
      </c>
      <c r="I46" s="89">
        <f t="shared" si="7"/>
        <v>0</v>
      </c>
      <c r="J46" s="89">
        <f t="shared" si="8"/>
        <v>0</v>
      </c>
    </row>
    <row r="47" spans="1:10" ht="15.75">
      <c r="A47" s="15" t="s">
        <v>17</v>
      </c>
      <c r="B47" s="3"/>
      <c r="C47" s="3"/>
      <c r="D47" s="3"/>
      <c r="E47" s="3"/>
      <c r="F47" s="3"/>
      <c r="G47" s="89">
        <f t="shared" si="5"/>
        <v>0</v>
      </c>
      <c r="H47" s="89">
        <f t="shared" si="6"/>
        <v>0</v>
      </c>
      <c r="I47" s="89">
        <f t="shared" si="7"/>
        <v>0</v>
      </c>
      <c r="J47" s="89">
        <f t="shared" si="8"/>
        <v>0</v>
      </c>
    </row>
    <row r="48" spans="1:10" ht="15.75">
      <c r="A48" s="15" t="s">
        <v>18</v>
      </c>
      <c r="B48" s="3"/>
      <c r="C48" s="3"/>
      <c r="D48" s="3"/>
      <c r="E48" s="3"/>
      <c r="F48" s="3"/>
      <c r="G48" s="89">
        <f aca="true" t="shared" si="9" ref="G48:G60">_xlfn.IFERROR(C48/B48,0)</f>
        <v>0</v>
      </c>
      <c r="H48" s="89">
        <f aca="true" t="shared" si="10" ref="H48:H60">_xlfn.IFERROR(E48/D48,0)</f>
        <v>0</v>
      </c>
      <c r="I48" s="89">
        <f aca="true" t="shared" si="11" ref="I48:I60">_xlfn.IFERROR(F48/E48,0)</f>
        <v>0</v>
      </c>
      <c r="J48" s="89">
        <f aca="true" t="shared" si="12" ref="J48:J60">_xlfn.IFERROR(F48/B48,0)</f>
        <v>0</v>
      </c>
    </row>
    <row r="49" spans="1:10" ht="15.75">
      <c r="A49" s="15" t="s">
        <v>19</v>
      </c>
      <c r="B49" s="3"/>
      <c r="C49" s="3"/>
      <c r="D49" s="3"/>
      <c r="E49" s="3"/>
      <c r="F49" s="3"/>
      <c r="G49" s="89">
        <f t="shared" si="9"/>
        <v>0</v>
      </c>
      <c r="H49" s="89">
        <f t="shared" si="10"/>
        <v>0</v>
      </c>
      <c r="I49" s="89">
        <f t="shared" si="11"/>
        <v>0</v>
      </c>
      <c r="J49" s="89">
        <f t="shared" si="12"/>
        <v>0</v>
      </c>
    </row>
    <row r="50" spans="1:10" ht="15.75">
      <c r="A50" s="15" t="s">
        <v>20</v>
      </c>
      <c r="B50" s="3"/>
      <c r="C50" s="3"/>
      <c r="D50" s="3"/>
      <c r="E50" s="3"/>
      <c r="F50" s="3"/>
      <c r="G50" s="89">
        <f t="shared" si="9"/>
        <v>0</v>
      </c>
      <c r="H50" s="89">
        <f t="shared" si="10"/>
        <v>0</v>
      </c>
      <c r="I50" s="89">
        <f t="shared" si="11"/>
        <v>0</v>
      </c>
      <c r="J50" s="89">
        <f t="shared" si="12"/>
        <v>0</v>
      </c>
    </row>
    <row r="51" spans="1:10" ht="15.75">
      <c r="A51" s="15" t="s">
        <v>21</v>
      </c>
      <c r="B51" s="3"/>
      <c r="C51" s="3"/>
      <c r="D51" s="3"/>
      <c r="E51" s="3"/>
      <c r="F51" s="3"/>
      <c r="G51" s="89">
        <f t="shared" si="9"/>
        <v>0</v>
      </c>
      <c r="H51" s="89">
        <f t="shared" si="10"/>
        <v>0</v>
      </c>
      <c r="I51" s="89">
        <f t="shared" si="11"/>
        <v>0</v>
      </c>
      <c r="J51" s="89">
        <f t="shared" si="12"/>
        <v>0</v>
      </c>
    </row>
    <row r="52" spans="1:10" ht="15.75">
      <c r="A52" s="15" t="s">
        <v>22</v>
      </c>
      <c r="B52" s="3"/>
      <c r="C52" s="3"/>
      <c r="D52" s="3"/>
      <c r="E52" s="3"/>
      <c r="F52" s="3"/>
      <c r="G52" s="89">
        <f t="shared" si="9"/>
        <v>0</v>
      </c>
      <c r="H52" s="89">
        <f t="shared" si="10"/>
        <v>0</v>
      </c>
      <c r="I52" s="89">
        <f t="shared" si="11"/>
        <v>0</v>
      </c>
      <c r="J52" s="89">
        <f t="shared" si="12"/>
        <v>0</v>
      </c>
    </row>
    <row r="53" spans="1:10" ht="15.75">
      <c r="A53" s="15" t="s">
        <v>23</v>
      </c>
      <c r="B53" s="3"/>
      <c r="C53" s="3"/>
      <c r="D53" s="3"/>
      <c r="E53" s="3"/>
      <c r="F53" s="3"/>
      <c r="G53" s="89">
        <f t="shared" si="9"/>
        <v>0</v>
      </c>
      <c r="H53" s="89">
        <f t="shared" si="10"/>
        <v>0</v>
      </c>
      <c r="I53" s="89">
        <f t="shared" si="11"/>
        <v>0</v>
      </c>
      <c r="J53" s="89">
        <f t="shared" si="12"/>
        <v>0</v>
      </c>
    </row>
    <row r="54" spans="1:10" ht="18" customHeight="1">
      <c r="A54" s="121" t="s">
        <v>24</v>
      </c>
      <c r="B54" s="3">
        <v>150</v>
      </c>
      <c r="C54" s="3">
        <v>259</v>
      </c>
      <c r="D54" s="3">
        <v>259</v>
      </c>
      <c r="E54" s="3">
        <v>219</v>
      </c>
      <c r="F54" s="3">
        <v>142</v>
      </c>
      <c r="G54" s="89">
        <f t="shared" si="9"/>
        <v>1.7266666666666666</v>
      </c>
      <c r="H54" s="89">
        <f t="shared" si="10"/>
        <v>0.8455598455598455</v>
      </c>
      <c r="I54" s="89">
        <f t="shared" si="11"/>
        <v>0.6484018264840182</v>
      </c>
      <c r="J54" s="89">
        <f t="shared" si="12"/>
        <v>0.9466666666666667</v>
      </c>
    </row>
    <row r="55" spans="1:10" ht="15.75">
      <c r="A55" s="15" t="s">
        <v>25</v>
      </c>
      <c r="B55" s="3"/>
      <c r="C55" s="3"/>
      <c r="D55" s="3"/>
      <c r="E55" s="3"/>
      <c r="F55" s="3"/>
      <c r="G55" s="89">
        <f t="shared" si="9"/>
        <v>0</v>
      </c>
      <c r="H55" s="89">
        <f t="shared" si="10"/>
        <v>0</v>
      </c>
      <c r="I55" s="89">
        <f t="shared" si="11"/>
        <v>0</v>
      </c>
      <c r="J55" s="89">
        <f t="shared" si="12"/>
        <v>0</v>
      </c>
    </row>
    <row r="56" spans="1:10" ht="15.75">
      <c r="A56" s="15" t="s">
        <v>26</v>
      </c>
      <c r="B56" s="3"/>
      <c r="C56" s="3"/>
      <c r="D56" s="3"/>
      <c r="E56" s="3"/>
      <c r="F56" s="3"/>
      <c r="G56" s="89">
        <f t="shared" si="9"/>
        <v>0</v>
      </c>
      <c r="H56" s="89">
        <f t="shared" si="10"/>
        <v>0</v>
      </c>
      <c r="I56" s="89">
        <f t="shared" si="11"/>
        <v>0</v>
      </c>
      <c r="J56" s="89">
        <f t="shared" si="12"/>
        <v>0</v>
      </c>
    </row>
    <row r="57" spans="1:10" ht="15.75">
      <c r="A57" s="15" t="s">
        <v>27</v>
      </c>
      <c r="B57" s="3"/>
      <c r="C57" s="3"/>
      <c r="D57" s="3"/>
      <c r="E57" s="3"/>
      <c r="F57" s="3"/>
      <c r="G57" s="89">
        <f t="shared" si="9"/>
        <v>0</v>
      </c>
      <c r="H57" s="89">
        <f t="shared" si="10"/>
        <v>0</v>
      </c>
      <c r="I57" s="89">
        <f t="shared" si="11"/>
        <v>0</v>
      </c>
      <c r="J57" s="89">
        <f t="shared" si="12"/>
        <v>0</v>
      </c>
    </row>
    <row r="58" spans="1:10" ht="15.75">
      <c r="A58" s="15" t="s">
        <v>28</v>
      </c>
      <c r="B58" s="3"/>
      <c r="C58" s="3"/>
      <c r="D58" s="3"/>
      <c r="E58" s="3"/>
      <c r="F58" s="3"/>
      <c r="G58" s="89">
        <f t="shared" si="9"/>
        <v>0</v>
      </c>
      <c r="H58" s="89">
        <f t="shared" si="10"/>
        <v>0</v>
      </c>
      <c r="I58" s="89">
        <f t="shared" si="11"/>
        <v>0</v>
      </c>
      <c r="J58" s="89">
        <f t="shared" si="12"/>
        <v>0</v>
      </c>
    </row>
    <row r="59" spans="1:10" ht="15.75">
      <c r="A59" s="15" t="s">
        <v>29</v>
      </c>
      <c r="B59" s="3"/>
      <c r="C59" s="3"/>
      <c r="D59" s="3"/>
      <c r="E59" s="3"/>
      <c r="F59" s="3"/>
      <c r="G59" s="89">
        <f t="shared" si="9"/>
        <v>0</v>
      </c>
      <c r="H59" s="89">
        <f t="shared" si="10"/>
        <v>0</v>
      </c>
      <c r="I59" s="89">
        <f t="shared" si="11"/>
        <v>0</v>
      </c>
      <c r="J59" s="89">
        <f t="shared" si="12"/>
        <v>0</v>
      </c>
    </row>
    <row r="60" spans="1:10" ht="15.75">
      <c r="A60" s="15" t="s">
        <v>30</v>
      </c>
      <c r="B60" s="3"/>
      <c r="C60" s="3"/>
      <c r="D60" s="3"/>
      <c r="E60" s="3"/>
      <c r="F60" s="3"/>
      <c r="G60" s="89">
        <f t="shared" si="9"/>
        <v>0</v>
      </c>
      <c r="H60" s="89">
        <f t="shared" si="10"/>
        <v>0</v>
      </c>
      <c r="I60" s="89">
        <f t="shared" si="11"/>
        <v>0</v>
      </c>
      <c r="J60" s="89">
        <f t="shared" si="12"/>
        <v>0</v>
      </c>
    </row>
    <row r="61" spans="1:10" ht="31.5">
      <c r="A61" s="22" t="s">
        <v>31</v>
      </c>
      <c r="B61" s="2"/>
      <c r="C61" s="2"/>
      <c r="D61" s="2"/>
      <c r="E61" s="2"/>
      <c r="F61" s="2"/>
      <c r="G61" s="89">
        <f>_xlfn.IFERROR(C61/B61,0)</f>
        <v>0</v>
      </c>
      <c r="H61" s="89">
        <f>_xlfn.IFERROR(E61/D61,0)</f>
        <v>0</v>
      </c>
      <c r="I61" s="89">
        <f>_xlfn.IFERROR(F61/E61,0)</f>
        <v>0</v>
      </c>
      <c r="J61" s="89">
        <f>_xlfn.IFERROR(F61/B61,0)</f>
        <v>0</v>
      </c>
    </row>
    <row r="62" spans="1:10" ht="15.75">
      <c r="A62" s="87" t="s">
        <v>40</v>
      </c>
      <c r="B62" s="39">
        <f>SUM(B35:B61)</f>
        <v>610</v>
      </c>
      <c r="C62" s="39">
        <f>SUM(C35:C61)</f>
        <v>713</v>
      </c>
      <c r="D62" s="39">
        <f>SUM(D35:D61)</f>
        <v>702</v>
      </c>
      <c r="E62" s="39">
        <f>SUM(E35:E61)</f>
        <v>595</v>
      </c>
      <c r="F62" s="39">
        <f>SUM(F35:F61)</f>
        <v>447</v>
      </c>
      <c r="G62" s="89">
        <f>_xlfn.IFERROR(C62/B62,0)</f>
        <v>1.1688524590163933</v>
      </c>
      <c r="H62" s="89">
        <f>_xlfn.IFERROR(E62/D62,0)</f>
        <v>0.8475783475783476</v>
      </c>
      <c r="I62" s="89">
        <f>_xlfn.IFERROR(F62/E62,0)</f>
        <v>0.7512605042016807</v>
      </c>
      <c r="J62" s="89">
        <f>_xlfn.IFERROR(F62/B62,0)</f>
        <v>0.7327868852459016</v>
      </c>
    </row>
    <row r="63" spans="1:10" ht="15.75">
      <c r="A63" s="122"/>
      <c r="B63" s="123"/>
      <c r="C63" s="123"/>
      <c r="D63" s="123"/>
      <c r="E63" s="123"/>
      <c r="F63" s="118"/>
      <c r="G63" s="119"/>
      <c r="H63" s="119"/>
      <c r="I63" s="119"/>
      <c r="J63" s="119"/>
    </row>
    <row r="64" spans="1:5" ht="16.5" thickBot="1">
      <c r="A64" s="472" t="s">
        <v>75</v>
      </c>
      <c r="B64" s="473"/>
      <c r="C64" s="473"/>
      <c r="D64" s="473"/>
      <c r="E64" s="474"/>
    </row>
    <row r="65" spans="1:9" ht="63.75" thickBot="1">
      <c r="A65" s="65" t="s">
        <v>53</v>
      </c>
      <c r="B65" s="66" t="s">
        <v>45</v>
      </c>
      <c r="C65" s="67" t="s">
        <v>46</v>
      </c>
      <c r="D65" s="67" t="s">
        <v>47</v>
      </c>
      <c r="E65" s="67" t="s">
        <v>48</v>
      </c>
      <c r="F65" s="68" t="s">
        <v>91</v>
      </c>
      <c r="G65" s="68" t="s">
        <v>92</v>
      </c>
      <c r="H65" s="68" t="s">
        <v>93</v>
      </c>
      <c r="I65" s="69" t="s">
        <v>94</v>
      </c>
    </row>
    <row r="66" spans="1:9" ht="31.5">
      <c r="A66" s="51" t="s">
        <v>5</v>
      </c>
      <c r="B66" s="52">
        <v>473</v>
      </c>
      <c r="C66" s="52">
        <v>473</v>
      </c>
      <c r="D66" s="52">
        <v>325</v>
      </c>
      <c r="E66" s="52">
        <v>243</v>
      </c>
      <c r="F66" s="90">
        <f aca="true" t="shared" si="13" ref="F66:F93">+_xlfn.IFERROR(B66/(C4+C35),0)*100</f>
        <v>88.74296435272045</v>
      </c>
      <c r="G66" s="90">
        <f aca="true" t="shared" si="14" ref="G66:G93">+_xlfn.IFERROR(C66/(D4+D35),0)*100</f>
        <v>103.50109409190371</v>
      </c>
      <c r="H66" s="90">
        <f aca="true" t="shared" si="15" ref="H66:H93">+_xlfn.IFERROR(D66/(E4+E35),0)*100</f>
        <v>89.04109589041096</v>
      </c>
      <c r="I66" s="90">
        <f aca="true" t="shared" si="16" ref="I66:I93">+_xlfn.IFERROR(E66/(F4+F35),0)*100</f>
        <v>86.47686832740213</v>
      </c>
    </row>
    <row r="67" spans="1:9" ht="15.75">
      <c r="A67" s="15" t="s">
        <v>6</v>
      </c>
      <c r="B67" s="3">
        <f>116+42</f>
        <v>158</v>
      </c>
      <c r="C67" s="3">
        <f>91+37</f>
        <v>128</v>
      </c>
      <c r="D67" s="3">
        <f>85+37</f>
        <v>122</v>
      </c>
      <c r="E67" s="3">
        <f>81+36</f>
        <v>117</v>
      </c>
      <c r="F67" s="91">
        <f t="shared" si="13"/>
        <v>86.81318681318682</v>
      </c>
      <c r="G67" s="91">
        <f t="shared" si="14"/>
        <v>94.11764705882352</v>
      </c>
      <c r="H67" s="91">
        <f t="shared" si="15"/>
        <v>97.6</v>
      </c>
      <c r="I67" s="91">
        <f t="shared" si="16"/>
        <v>99.15254237288136</v>
      </c>
    </row>
    <row r="68" spans="1:9" ht="15.75">
      <c r="A68" s="15" t="s">
        <v>7</v>
      </c>
      <c r="B68" s="3"/>
      <c r="C68" s="3"/>
      <c r="D68" s="3"/>
      <c r="E68" s="3"/>
      <c r="F68" s="91">
        <f t="shared" si="13"/>
        <v>0</v>
      </c>
      <c r="G68" s="91">
        <f t="shared" si="14"/>
        <v>0</v>
      </c>
      <c r="H68" s="91">
        <f t="shared" si="15"/>
        <v>0</v>
      </c>
      <c r="I68" s="91">
        <f t="shared" si="16"/>
        <v>0</v>
      </c>
    </row>
    <row r="69" spans="1:9" ht="31.5">
      <c r="A69" s="15" t="s">
        <v>8</v>
      </c>
      <c r="B69" s="3">
        <f>33+116</f>
        <v>149</v>
      </c>
      <c r="C69" s="3">
        <f>33+116</f>
        <v>149</v>
      </c>
      <c r="D69" s="3">
        <f>33+109</f>
        <v>142</v>
      </c>
      <c r="E69" s="3">
        <f>29+96</f>
        <v>125</v>
      </c>
      <c r="F69" s="91">
        <f t="shared" si="13"/>
        <v>54.57875457875458</v>
      </c>
      <c r="G69" s="91">
        <f t="shared" si="14"/>
        <v>57.52895752895753</v>
      </c>
      <c r="H69" s="91">
        <f t="shared" si="15"/>
        <v>78.88888888888889</v>
      </c>
      <c r="I69" s="91">
        <f t="shared" si="16"/>
        <v>87.41258741258741</v>
      </c>
    </row>
    <row r="70" spans="1:9" ht="15.75">
      <c r="A70" s="15" t="s">
        <v>9</v>
      </c>
      <c r="B70" s="3"/>
      <c r="C70" s="3"/>
      <c r="D70" s="3"/>
      <c r="E70" s="3"/>
      <c r="F70" s="91">
        <f t="shared" si="13"/>
        <v>0</v>
      </c>
      <c r="G70" s="91">
        <f t="shared" si="14"/>
        <v>0</v>
      </c>
      <c r="H70" s="91">
        <f t="shared" si="15"/>
        <v>0</v>
      </c>
      <c r="I70" s="91">
        <f t="shared" si="16"/>
        <v>0</v>
      </c>
    </row>
    <row r="71" spans="1:9" ht="15.75">
      <c r="A71" s="15" t="s">
        <v>10</v>
      </c>
      <c r="B71" s="3"/>
      <c r="C71" s="3"/>
      <c r="D71" s="3"/>
      <c r="E71" s="3"/>
      <c r="F71" s="91">
        <f t="shared" si="13"/>
        <v>0</v>
      </c>
      <c r="G71" s="91">
        <f t="shared" si="14"/>
        <v>0</v>
      </c>
      <c r="H71" s="91">
        <f t="shared" si="15"/>
        <v>0</v>
      </c>
      <c r="I71" s="91">
        <f t="shared" si="16"/>
        <v>0</v>
      </c>
    </row>
    <row r="72" spans="1:9" ht="15.75">
      <c r="A72" s="15" t="s">
        <v>11</v>
      </c>
      <c r="B72" s="3">
        <v>458</v>
      </c>
      <c r="C72" s="3">
        <v>458</v>
      </c>
      <c r="D72" s="3">
        <v>443</v>
      </c>
      <c r="E72" s="3">
        <v>426</v>
      </c>
      <c r="F72" s="91">
        <f t="shared" si="13"/>
        <v>91.23505976095618</v>
      </c>
      <c r="G72" s="91">
        <f t="shared" si="14"/>
        <v>94.23868312757202</v>
      </c>
      <c r="H72" s="91">
        <f t="shared" si="15"/>
        <v>91.34020618556701</v>
      </c>
      <c r="I72" s="91">
        <f t="shared" si="16"/>
        <v>92.0086393088553</v>
      </c>
    </row>
    <row r="73" spans="1:9" ht="15.75">
      <c r="A73" s="15" t="s">
        <v>12</v>
      </c>
      <c r="B73" s="2"/>
      <c r="C73" s="2"/>
      <c r="D73" s="2"/>
      <c r="E73" s="2"/>
      <c r="F73" s="91">
        <f t="shared" si="13"/>
        <v>0</v>
      </c>
      <c r="G73" s="91">
        <f t="shared" si="14"/>
        <v>0</v>
      </c>
      <c r="H73" s="91">
        <f t="shared" si="15"/>
        <v>0</v>
      </c>
      <c r="I73" s="91">
        <f t="shared" si="16"/>
        <v>0</v>
      </c>
    </row>
    <row r="74" spans="1:9" ht="15.75">
      <c r="A74" s="15" t="s">
        <v>13</v>
      </c>
      <c r="B74" s="22"/>
      <c r="C74" s="2"/>
      <c r="D74" s="2"/>
      <c r="E74" s="2"/>
      <c r="F74" s="91">
        <f t="shared" si="13"/>
        <v>0</v>
      </c>
      <c r="G74" s="91">
        <f t="shared" si="14"/>
        <v>0</v>
      </c>
      <c r="H74" s="91">
        <f t="shared" si="15"/>
        <v>0</v>
      </c>
      <c r="I74" s="91">
        <f t="shared" si="16"/>
        <v>0</v>
      </c>
    </row>
    <row r="75" spans="1:9" ht="31.5">
      <c r="A75" s="15" t="s">
        <v>14</v>
      </c>
      <c r="B75" s="3"/>
      <c r="C75" s="3"/>
      <c r="D75" s="3"/>
      <c r="E75" s="3"/>
      <c r="F75" s="91">
        <f t="shared" si="13"/>
        <v>0</v>
      </c>
      <c r="G75" s="91">
        <f t="shared" si="14"/>
        <v>0</v>
      </c>
      <c r="H75" s="91">
        <f t="shared" si="15"/>
        <v>0</v>
      </c>
      <c r="I75" s="91">
        <f t="shared" si="16"/>
        <v>0</v>
      </c>
    </row>
    <row r="76" spans="1:9" ht="15.75">
      <c r="A76" s="15" t="s">
        <v>15</v>
      </c>
      <c r="B76" s="3"/>
      <c r="C76" s="3"/>
      <c r="D76" s="3"/>
      <c r="E76" s="3"/>
      <c r="F76" s="91">
        <f t="shared" si="13"/>
        <v>0</v>
      </c>
      <c r="G76" s="91">
        <f t="shared" si="14"/>
        <v>0</v>
      </c>
      <c r="H76" s="91">
        <f t="shared" si="15"/>
        <v>0</v>
      </c>
      <c r="I76" s="91">
        <f t="shared" si="16"/>
        <v>0</v>
      </c>
    </row>
    <row r="77" spans="1:9" ht="47.25">
      <c r="A77" s="15" t="s">
        <v>16</v>
      </c>
      <c r="B77" s="3"/>
      <c r="C77" s="3"/>
      <c r="D77" s="3"/>
      <c r="E77" s="3"/>
      <c r="F77" s="91">
        <f t="shared" si="13"/>
        <v>0</v>
      </c>
      <c r="G77" s="91">
        <f t="shared" si="14"/>
        <v>0</v>
      </c>
      <c r="H77" s="91">
        <f t="shared" si="15"/>
        <v>0</v>
      </c>
      <c r="I77" s="91">
        <f t="shared" si="16"/>
        <v>0</v>
      </c>
    </row>
    <row r="78" spans="1:9" ht="15.75">
      <c r="A78" s="15" t="s">
        <v>17</v>
      </c>
      <c r="B78" s="3"/>
      <c r="C78" s="3"/>
      <c r="D78" s="3"/>
      <c r="E78" s="3"/>
      <c r="F78" s="91">
        <f t="shared" si="13"/>
        <v>0</v>
      </c>
      <c r="G78" s="91">
        <f t="shared" si="14"/>
        <v>0</v>
      </c>
      <c r="H78" s="91">
        <f t="shared" si="15"/>
        <v>0</v>
      </c>
      <c r="I78" s="91">
        <f t="shared" si="16"/>
        <v>0</v>
      </c>
    </row>
    <row r="79" spans="1:9" ht="15.75">
      <c r="A79" s="15" t="s">
        <v>18</v>
      </c>
      <c r="B79" s="3"/>
      <c r="C79" s="3"/>
      <c r="D79" s="3"/>
      <c r="E79" s="3"/>
      <c r="F79" s="91">
        <f t="shared" si="13"/>
        <v>0</v>
      </c>
      <c r="G79" s="91">
        <f t="shared" si="14"/>
        <v>0</v>
      </c>
      <c r="H79" s="91">
        <f t="shared" si="15"/>
        <v>0</v>
      </c>
      <c r="I79" s="91">
        <f t="shared" si="16"/>
        <v>0</v>
      </c>
    </row>
    <row r="80" spans="1:9" ht="15.75">
      <c r="A80" s="15" t="s">
        <v>19</v>
      </c>
      <c r="B80" s="3"/>
      <c r="C80" s="3"/>
      <c r="D80" s="3"/>
      <c r="E80" s="3"/>
      <c r="F80" s="91">
        <f t="shared" si="13"/>
        <v>0</v>
      </c>
      <c r="G80" s="91">
        <f t="shared" si="14"/>
        <v>0</v>
      </c>
      <c r="H80" s="91">
        <f t="shared" si="15"/>
        <v>0</v>
      </c>
      <c r="I80" s="91">
        <f t="shared" si="16"/>
        <v>0</v>
      </c>
    </row>
    <row r="81" spans="1:9" ht="15.75">
      <c r="A81" s="15" t="s">
        <v>20</v>
      </c>
      <c r="B81" s="3"/>
      <c r="C81" s="3"/>
      <c r="D81" s="3"/>
      <c r="E81" s="3"/>
      <c r="F81" s="91">
        <f t="shared" si="13"/>
        <v>0</v>
      </c>
      <c r="G81" s="91">
        <f t="shared" si="14"/>
        <v>0</v>
      </c>
      <c r="H81" s="91">
        <f t="shared" si="15"/>
        <v>0</v>
      </c>
      <c r="I81" s="91">
        <f t="shared" si="16"/>
        <v>0</v>
      </c>
    </row>
    <row r="82" spans="1:9" ht="15.75">
      <c r="A82" s="15" t="s">
        <v>21</v>
      </c>
      <c r="B82" s="3"/>
      <c r="C82" s="3"/>
      <c r="D82" s="3"/>
      <c r="E82" s="3"/>
      <c r="F82" s="91">
        <f t="shared" si="13"/>
        <v>0</v>
      </c>
      <c r="G82" s="91">
        <f t="shared" si="14"/>
        <v>0</v>
      </c>
      <c r="H82" s="91">
        <f t="shared" si="15"/>
        <v>0</v>
      </c>
      <c r="I82" s="91">
        <f t="shared" si="16"/>
        <v>0</v>
      </c>
    </row>
    <row r="83" spans="1:9" ht="15.75">
      <c r="A83" s="15" t="s">
        <v>22</v>
      </c>
      <c r="B83" s="3"/>
      <c r="C83" s="3"/>
      <c r="D83" s="3"/>
      <c r="E83" s="3"/>
      <c r="F83" s="91">
        <f t="shared" si="13"/>
        <v>0</v>
      </c>
      <c r="G83" s="91">
        <f t="shared" si="14"/>
        <v>0</v>
      </c>
      <c r="H83" s="91">
        <f t="shared" si="15"/>
        <v>0</v>
      </c>
      <c r="I83" s="91">
        <f t="shared" si="16"/>
        <v>0</v>
      </c>
    </row>
    <row r="84" spans="1:9" ht="15.75">
      <c r="A84" s="15" t="s">
        <v>23</v>
      </c>
      <c r="B84" s="3"/>
      <c r="C84" s="3"/>
      <c r="D84" s="3"/>
      <c r="E84" s="3"/>
      <c r="F84" s="91">
        <f t="shared" si="13"/>
        <v>0</v>
      </c>
      <c r="G84" s="91">
        <f t="shared" si="14"/>
        <v>0</v>
      </c>
      <c r="H84" s="91">
        <f t="shared" si="15"/>
        <v>0</v>
      </c>
      <c r="I84" s="91">
        <f t="shared" si="16"/>
        <v>0</v>
      </c>
    </row>
    <row r="85" spans="1:9" ht="15.75">
      <c r="A85" s="15" t="s">
        <v>24</v>
      </c>
      <c r="B85" s="3">
        <v>143</v>
      </c>
      <c r="C85" s="3">
        <v>143</v>
      </c>
      <c r="D85" s="3">
        <v>124</v>
      </c>
      <c r="E85" s="3">
        <v>99</v>
      </c>
      <c r="F85" s="91">
        <f t="shared" si="13"/>
        <v>43.202416918429</v>
      </c>
      <c r="G85" s="91">
        <f t="shared" si="14"/>
        <v>43.202416918429</v>
      </c>
      <c r="H85" s="91">
        <f t="shared" si="15"/>
        <v>43.97163120567376</v>
      </c>
      <c r="I85" s="91">
        <f t="shared" si="16"/>
        <v>53.2258064516129</v>
      </c>
    </row>
    <row r="86" spans="1:9" ht="15.75">
      <c r="A86" s="15" t="s">
        <v>25</v>
      </c>
      <c r="B86" s="3"/>
      <c r="C86" s="3"/>
      <c r="D86" s="3"/>
      <c r="E86" s="3"/>
      <c r="F86" s="91">
        <f t="shared" si="13"/>
        <v>0</v>
      </c>
      <c r="G86" s="91">
        <f t="shared" si="14"/>
        <v>0</v>
      </c>
      <c r="H86" s="91">
        <f t="shared" si="15"/>
        <v>0</v>
      </c>
      <c r="I86" s="91">
        <f t="shared" si="16"/>
        <v>0</v>
      </c>
    </row>
    <row r="87" spans="1:9" ht="15.75">
      <c r="A87" s="15" t="s">
        <v>26</v>
      </c>
      <c r="B87" s="3"/>
      <c r="C87" s="3"/>
      <c r="D87" s="3"/>
      <c r="E87" s="3"/>
      <c r="F87" s="91">
        <f t="shared" si="13"/>
        <v>0</v>
      </c>
      <c r="G87" s="91">
        <f t="shared" si="14"/>
        <v>0</v>
      </c>
      <c r="H87" s="91">
        <f t="shared" si="15"/>
        <v>0</v>
      </c>
      <c r="I87" s="91">
        <f t="shared" si="16"/>
        <v>0</v>
      </c>
    </row>
    <row r="88" spans="1:9" ht="15.75">
      <c r="A88" s="15" t="s">
        <v>27</v>
      </c>
      <c r="B88" s="3"/>
      <c r="C88" s="3"/>
      <c r="D88" s="3"/>
      <c r="E88" s="3"/>
      <c r="F88" s="91">
        <f t="shared" si="13"/>
        <v>0</v>
      </c>
      <c r="G88" s="91">
        <f t="shared" si="14"/>
        <v>0</v>
      </c>
      <c r="H88" s="91">
        <f t="shared" si="15"/>
        <v>0</v>
      </c>
      <c r="I88" s="91">
        <f t="shared" si="16"/>
        <v>0</v>
      </c>
    </row>
    <row r="89" spans="1:9" ht="15.75">
      <c r="A89" s="15" t="s">
        <v>28</v>
      </c>
      <c r="B89" s="3"/>
      <c r="C89" s="3"/>
      <c r="D89" s="3"/>
      <c r="E89" s="3"/>
      <c r="F89" s="91">
        <f t="shared" si="13"/>
        <v>0</v>
      </c>
      <c r="G89" s="91">
        <f t="shared" si="14"/>
        <v>0</v>
      </c>
      <c r="H89" s="91">
        <f t="shared" si="15"/>
        <v>0</v>
      </c>
      <c r="I89" s="91">
        <f t="shared" si="16"/>
        <v>0</v>
      </c>
    </row>
    <row r="90" spans="1:9" ht="15.75">
      <c r="A90" s="15" t="s">
        <v>29</v>
      </c>
      <c r="B90" s="3"/>
      <c r="C90" s="3"/>
      <c r="D90" s="3"/>
      <c r="E90" s="3"/>
      <c r="F90" s="91">
        <f t="shared" si="13"/>
        <v>0</v>
      </c>
      <c r="G90" s="91">
        <f t="shared" si="14"/>
        <v>0</v>
      </c>
      <c r="H90" s="91">
        <f t="shared" si="15"/>
        <v>0</v>
      </c>
      <c r="I90" s="91">
        <f t="shared" si="16"/>
        <v>0</v>
      </c>
    </row>
    <row r="91" spans="1:9" ht="15.75">
      <c r="A91" s="15" t="s">
        <v>30</v>
      </c>
      <c r="B91" s="3"/>
      <c r="C91" s="3"/>
      <c r="D91" s="3"/>
      <c r="E91" s="3"/>
      <c r="F91" s="91">
        <f t="shared" si="13"/>
        <v>0</v>
      </c>
      <c r="G91" s="91">
        <f t="shared" si="14"/>
        <v>0</v>
      </c>
      <c r="H91" s="91">
        <f t="shared" si="15"/>
        <v>0</v>
      </c>
      <c r="I91" s="91">
        <f t="shared" si="16"/>
        <v>0</v>
      </c>
    </row>
    <row r="92" spans="1:9" ht="31.5">
      <c r="A92" s="22" t="s">
        <v>31</v>
      </c>
      <c r="B92" s="3"/>
      <c r="C92" s="3"/>
      <c r="D92" s="3"/>
      <c r="E92" s="3"/>
      <c r="F92" s="91">
        <f t="shared" si="13"/>
        <v>0</v>
      </c>
      <c r="G92" s="91">
        <f t="shared" si="14"/>
        <v>0</v>
      </c>
      <c r="H92" s="91">
        <f t="shared" si="15"/>
        <v>0</v>
      </c>
      <c r="I92" s="91">
        <f t="shared" si="16"/>
        <v>0</v>
      </c>
    </row>
    <row r="93" spans="1:9" ht="15.75">
      <c r="A93" s="87" t="s">
        <v>40</v>
      </c>
      <c r="B93" s="39">
        <f>SUM(B66:B92)</f>
        <v>1381</v>
      </c>
      <c r="C93" s="39">
        <f>SUM(C66:C92)</f>
        <v>1351</v>
      </c>
      <c r="D93" s="39">
        <f>SUM(D66:D92)</f>
        <v>1156</v>
      </c>
      <c r="E93" s="39">
        <f>SUM(E66:E92)</f>
        <v>1010</v>
      </c>
      <c r="F93" s="91">
        <f t="shared" si="13"/>
        <v>75.83745194947831</v>
      </c>
      <c r="G93" s="91">
        <f t="shared" si="14"/>
        <v>80.94667465548233</v>
      </c>
      <c r="H93" s="91">
        <f t="shared" si="15"/>
        <v>80.44537230340988</v>
      </c>
      <c r="I93" s="91">
        <f t="shared" si="16"/>
        <v>84.80268681780016</v>
      </c>
    </row>
    <row r="94" spans="1:9" ht="15.75">
      <c r="A94" s="17"/>
      <c r="B94" s="6"/>
      <c r="C94" s="6"/>
      <c r="E94" s="6"/>
      <c r="I94" s="6"/>
    </row>
    <row r="95" spans="1:5" ht="16.5" thickBot="1">
      <c r="A95" s="81" t="s">
        <v>76</v>
      </c>
      <c r="B95" s="5"/>
      <c r="C95" s="5"/>
      <c r="D95" s="5"/>
      <c r="E95" s="5"/>
    </row>
    <row r="96" spans="1:9" ht="63.75" thickBot="1">
      <c r="A96" s="65" t="s">
        <v>53</v>
      </c>
      <c r="B96" s="66" t="s">
        <v>45</v>
      </c>
      <c r="C96" s="67" t="s">
        <v>46</v>
      </c>
      <c r="D96" s="67" t="s">
        <v>47</v>
      </c>
      <c r="E96" s="67" t="s">
        <v>48</v>
      </c>
      <c r="F96" s="68" t="s">
        <v>91</v>
      </c>
      <c r="G96" s="68" t="s">
        <v>92</v>
      </c>
      <c r="H96" s="68" t="s">
        <v>93</v>
      </c>
      <c r="I96" s="69" t="s">
        <v>94</v>
      </c>
    </row>
    <row r="97" spans="1:9" ht="31.5">
      <c r="A97" s="51" t="s">
        <v>5</v>
      </c>
      <c r="B97" s="52">
        <v>0</v>
      </c>
      <c r="C97" s="52">
        <v>0</v>
      </c>
      <c r="D97" s="52">
        <v>0</v>
      </c>
      <c r="E97" s="52">
        <v>0</v>
      </c>
      <c r="F97" s="90">
        <f aca="true" t="shared" si="17" ref="F97:F124">+_xlfn.IFERROR(B97/(C4+C35),0)*100</f>
        <v>0</v>
      </c>
      <c r="G97" s="90">
        <f aca="true" t="shared" si="18" ref="G97:G124">+_xlfn.IFERROR(C97/(D4+D35),0)*100</f>
        <v>0</v>
      </c>
      <c r="H97" s="90">
        <f aca="true" t="shared" si="19" ref="H97:H124">+_xlfn.IFERROR(D97/(E4+E35),0)*100</f>
        <v>0</v>
      </c>
      <c r="I97" s="90">
        <f aca="true" t="shared" si="20" ref="I97:I124">+_xlfn.IFERROR(E97/(F4+F35),0)*100</f>
        <v>0</v>
      </c>
    </row>
    <row r="98" spans="1:9" ht="15.75">
      <c r="A98" s="15" t="s">
        <v>6</v>
      </c>
      <c r="B98" s="3">
        <v>1</v>
      </c>
      <c r="C98" s="3">
        <v>0</v>
      </c>
      <c r="D98" s="3">
        <v>0</v>
      </c>
      <c r="E98" s="3">
        <v>0</v>
      </c>
      <c r="F98" s="91">
        <f t="shared" si="17"/>
        <v>0.5494505494505495</v>
      </c>
      <c r="G98" s="91">
        <f t="shared" si="18"/>
        <v>0</v>
      </c>
      <c r="H98" s="91">
        <f t="shared" si="19"/>
        <v>0</v>
      </c>
      <c r="I98" s="91">
        <f t="shared" si="20"/>
        <v>0</v>
      </c>
    </row>
    <row r="99" spans="1:9" ht="15.75">
      <c r="A99" s="15" t="s">
        <v>7</v>
      </c>
      <c r="B99" s="3"/>
      <c r="C99" s="3"/>
      <c r="D99" s="3"/>
      <c r="E99" s="3"/>
      <c r="F99" s="91">
        <f t="shared" si="17"/>
        <v>0</v>
      </c>
      <c r="G99" s="91">
        <f t="shared" si="18"/>
        <v>0</v>
      </c>
      <c r="H99" s="91">
        <f t="shared" si="19"/>
        <v>0</v>
      </c>
      <c r="I99" s="91">
        <f t="shared" si="20"/>
        <v>0</v>
      </c>
    </row>
    <row r="100" spans="1:9" ht="31.5">
      <c r="A100" s="15" t="s">
        <v>8</v>
      </c>
      <c r="B100" s="3"/>
      <c r="C100" s="3"/>
      <c r="D100" s="3"/>
      <c r="E100" s="3"/>
      <c r="F100" s="91">
        <f t="shared" si="17"/>
        <v>0</v>
      </c>
      <c r="G100" s="91">
        <f t="shared" si="18"/>
        <v>0</v>
      </c>
      <c r="H100" s="91">
        <f t="shared" si="19"/>
        <v>0</v>
      </c>
      <c r="I100" s="91">
        <f t="shared" si="20"/>
        <v>0</v>
      </c>
    </row>
    <row r="101" spans="1:9" ht="15.75">
      <c r="A101" s="15" t="s">
        <v>9</v>
      </c>
      <c r="B101" s="3"/>
      <c r="C101" s="3"/>
      <c r="D101" s="3"/>
      <c r="E101" s="3"/>
      <c r="F101" s="91">
        <f t="shared" si="17"/>
        <v>0</v>
      </c>
      <c r="G101" s="91">
        <f t="shared" si="18"/>
        <v>0</v>
      </c>
      <c r="H101" s="91">
        <f t="shared" si="19"/>
        <v>0</v>
      </c>
      <c r="I101" s="91">
        <f t="shared" si="20"/>
        <v>0</v>
      </c>
    </row>
    <row r="102" spans="1:9" ht="15.75">
      <c r="A102" s="15" t="s">
        <v>10</v>
      </c>
      <c r="B102" s="3"/>
      <c r="C102" s="3"/>
      <c r="D102" s="3"/>
      <c r="E102" s="3"/>
      <c r="F102" s="91">
        <f t="shared" si="17"/>
        <v>0</v>
      </c>
      <c r="G102" s="91">
        <f t="shared" si="18"/>
        <v>0</v>
      </c>
      <c r="H102" s="91">
        <f t="shared" si="19"/>
        <v>0</v>
      </c>
      <c r="I102" s="91">
        <f t="shared" si="20"/>
        <v>0</v>
      </c>
    </row>
    <row r="103" spans="1:9" ht="15.75">
      <c r="A103" s="15" t="s">
        <v>11</v>
      </c>
      <c r="B103" s="3">
        <v>1</v>
      </c>
      <c r="C103" s="3">
        <v>1</v>
      </c>
      <c r="D103" s="3">
        <v>0</v>
      </c>
      <c r="E103" s="3">
        <v>0</v>
      </c>
      <c r="F103" s="91">
        <f t="shared" si="17"/>
        <v>0.199203187250996</v>
      </c>
      <c r="G103" s="91">
        <f t="shared" si="18"/>
        <v>0.205761316872428</v>
      </c>
      <c r="H103" s="91">
        <f t="shared" si="19"/>
        <v>0</v>
      </c>
      <c r="I103" s="91">
        <f t="shared" si="20"/>
        <v>0</v>
      </c>
    </row>
    <row r="104" spans="1:9" ht="15.75">
      <c r="A104" s="15" t="s">
        <v>12</v>
      </c>
      <c r="B104" s="3"/>
      <c r="C104" s="3"/>
      <c r="D104" s="3"/>
      <c r="E104" s="3"/>
      <c r="F104" s="91">
        <f t="shared" si="17"/>
        <v>0</v>
      </c>
      <c r="G104" s="91">
        <f t="shared" si="18"/>
        <v>0</v>
      </c>
      <c r="H104" s="91">
        <f t="shared" si="19"/>
        <v>0</v>
      </c>
      <c r="I104" s="91">
        <f t="shared" si="20"/>
        <v>0</v>
      </c>
    </row>
    <row r="105" spans="1:9" ht="15.75">
      <c r="A105" s="15" t="s">
        <v>13</v>
      </c>
      <c r="B105" s="3"/>
      <c r="C105" s="3"/>
      <c r="D105" s="3"/>
      <c r="E105" s="3"/>
      <c r="F105" s="91">
        <f t="shared" si="17"/>
        <v>0</v>
      </c>
      <c r="G105" s="91">
        <f t="shared" si="18"/>
        <v>0</v>
      </c>
      <c r="H105" s="91">
        <f t="shared" si="19"/>
        <v>0</v>
      </c>
      <c r="I105" s="91">
        <f t="shared" si="20"/>
        <v>0</v>
      </c>
    </row>
    <row r="106" spans="1:9" ht="31.5">
      <c r="A106" s="15" t="s">
        <v>14</v>
      </c>
      <c r="B106" s="3"/>
      <c r="C106" s="3"/>
      <c r="D106" s="3"/>
      <c r="E106" s="3"/>
      <c r="F106" s="91">
        <f t="shared" si="17"/>
        <v>0</v>
      </c>
      <c r="G106" s="91">
        <f t="shared" si="18"/>
        <v>0</v>
      </c>
      <c r="H106" s="91">
        <f t="shared" si="19"/>
        <v>0</v>
      </c>
      <c r="I106" s="91">
        <f t="shared" si="20"/>
        <v>0</v>
      </c>
    </row>
    <row r="107" spans="1:9" ht="15.75">
      <c r="A107" s="15" t="s">
        <v>15</v>
      </c>
      <c r="B107" s="3"/>
      <c r="C107" s="3"/>
      <c r="D107" s="3"/>
      <c r="E107" s="3"/>
      <c r="F107" s="91">
        <f t="shared" si="17"/>
        <v>0</v>
      </c>
      <c r="G107" s="91">
        <f t="shared" si="18"/>
        <v>0</v>
      </c>
      <c r="H107" s="91">
        <f t="shared" si="19"/>
        <v>0</v>
      </c>
      <c r="I107" s="91">
        <f t="shared" si="20"/>
        <v>0</v>
      </c>
    </row>
    <row r="108" spans="1:9" ht="47.25">
      <c r="A108" s="15" t="s">
        <v>16</v>
      </c>
      <c r="B108" s="3"/>
      <c r="C108" s="3"/>
      <c r="D108" s="3"/>
      <c r="E108" s="3"/>
      <c r="F108" s="91">
        <f t="shared" si="17"/>
        <v>0</v>
      </c>
      <c r="G108" s="91">
        <f t="shared" si="18"/>
        <v>0</v>
      </c>
      <c r="H108" s="91">
        <f t="shared" si="19"/>
        <v>0</v>
      </c>
      <c r="I108" s="91">
        <f t="shared" si="20"/>
        <v>0</v>
      </c>
    </row>
    <row r="109" spans="1:9" ht="15.75">
      <c r="A109" s="15" t="s">
        <v>17</v>
      </c>
      <c r="B109" s="3"/>
      <c r="C109" s="3"/>
      <c r="D109" s="3"/>
      <c r="E109" s="3"/>
      <c r="F109" s="91">
        <f t="shared" si="17"/>
        <v>0</v>
      </c>
      <c r="G109" s="91">
        <f t="shared" si="18"/>
        <v>0</v>
      </c>
      <c r="H109" s="91">
        <f t="shared" si="19"/>
        <v>0</v>
      </c>
      <c r="I109" s="91">
        <f t="shared" si="20"/>
        <v>0</v>
      </c>
    </row>
    <row r="110" spans="1:9" ht="15.75">
      <c r="A110" s="15" t="s">
        <v>18</v>
      </c>
      <c r="B110" s="3"/>
      <c r="C110" s="3"/>
      <c r="D110" s="3"/>
      <c r="E110" s="3"/>
      <c r="F110" s="91">
        <f t="shared" si="17"/>
        <v>0</v>
      </c>
      <c r="G110" s="91">
        <f t="shared" si="18"/>
        <v>0</v>
      </c>
      <c r="H110" s="91">
        <f t="shared" si="19"/>
        <v>0</v>
      </c>
      <c r="I110" s="91">
        <f t="shared" si="20"/>
        <v>0</v>
      </c>
    </row>
    <row r="111" spans="1:9" ht="15.75">
      <c r="A111" s="15" t="s">
        <v>19</v>
      </c>
      <c r="B111" s="3"/>
      <c r="C111" s="3"/>
      <c r="D111" s="3"/>
      <c r="E111" s="3"/>
      <c r="F111" s="91">
        <f t="shared" si="17"/>
        <v>0</v>
      </c>
      <c r="G111" s="91">
        <f t="shared" si="18"/>
        <v>0</v>
      </c>
      <c r="H111" s="91">
        <f t="shared" si="19"/>
        <v>0</v>
      </c>
      <c r="I111" s="91">
        <f t="shared" si="20"/>
        <v>0</v>
      </c>
    </row>
    <row r="112" spans="1:9" ht="15.75">
      <c r="A112" s="15" t="s">
        <v>20</v>
      </c>
      <c r="B112" s="3"/>
      <c r="C112" s="3"/>
      <c r="D112" s="3"/>
      <c r="E112" s="3"/>
      <c r="F112" s="91">
        <f t="shared" si="17"/>
        <v>0</v>
      </c>
      <c r="G112" s="91">
        <f t="shared" si="18"/>
        <v>0</v>
      </c>
      <c r="H112" s="91">
        <f t="shared" si="19"/>
        <v>0</v>
      </c>
      <c r="I112" s="91">
        <f t="shared" si="20"/>
        <v>0</v>
      </c>
    </row>
    <row r="113" spans="1:9" ht="15.75">
      <c r="A113" s="15" t="s">
        <v>21</v>
      </c>
      <c r="B113" s="3"/>
      <c r="C113" s="3"/>
      <c r="D113" s="3"/>
      <c r="E113" s="3"/>
      <c r="F113" s="91">
        <f t="shared" si="17"/>
        <v>0</v>
      </c>
      <c r="G113" s="91">
        <f t="shared" si="18"/>
        <v>0</v>
      </c>
      <c r="H113" s="91">
        <f t="shared" si="19"/>
        <v>0</v>
      </c>
      <c r="I113" s="91">
        <f t="shared" si="20"/>
        <v>0</v>
      </c>
    </row>
    <row r="114" spans="1:9" ht="15.75">
      <c r="A114" s="15" t="s">
        <v>22</v>
      </c>
      <c r="B114" s="3"/>
      <c r="C114" s="3"/>
      <c r="D114" s="3"/>
      <c r="E114" s="3"/>
      <c r="F114" s="91">
        <f t="shared" si="17"/>
        <v>0</v>
      </c>
      <c r="G114" s="91">
        <f t="shared" si="18"/>
        <v>0</v>
      </c>
      <c r="H114" s="91">
        <f t="shared" si="19"/>
        <v>0</v>
      </c>
      <c r="I114" s="91">
        <f t="shared" si="20"/>
        <v>0</v>
      </c>
    </row>
    <row r="115" spans="1:9" ht="15.75">
      <c r="A115" s="15" t="s">
        <v>23</v>
      </c>
      <c r="B115" s="3"/>
      <c r="C115" s="3"/>
      <c r="D115" s="3"/>
      <c r="E115" s="3"/>
      <c r="F115" s="91">
        <f t="shared" si="17"/>
        <v>0</v>
      </c>
      <c r="G115" s="91">
        <f t="shared" si="18"/>
        <v>0</v>
      </c>
      <c r="H115" s="91">
        <f t="shared" si="19"/>
        <v>0</v>
      </c>
      <c r="I115" s="91">
        <f t="shared" si="20"/>
        <v>0</v>
      </c>
    </row>
    <row r="116" spans="1:9" ht="15.75">
      <c r="A116" s="15" t="s">
        <v>24</v>
      </c>
      <c r="B116" s="3">
        <v>26</v>
      </c>
      <c r="C116" s="3">
        <v>26</v>
      </c>
      <c r="D116" s="3">
        <v>21</v>
      </c>
      <c r="E116" s="3">
        <v>21</v>
      </c>
      <c r="F116" s="91">
        <f t="shared" si="17"/>
        <v>7.854984894259818</v>
      </c>
      <c r="G116" s="91">
        <f t="shared" si="18"/>
        <v>7.854984894259818</v>
      </c>
      <c r="H116" s="91">
        <f t="shared" si="19"/>
        <v>7.446808510638298</v>
      </c>
      <c r="I116" s="91">
        <f t="shared" si="20"/>
        <v>11.29032258064516</v>
      </c>
    </row>
    <row r="117" spans="1:9" ht="15.75">
      <c r="A117" s="15" t="s">
        <v>25</v>
      </c>
      <c r="B117" s="3"/>
      <c r="C117" s="3"/>
      <c r="D117" s="3"/>
      <c r="E117" s="3"/>
      <c r="F117" s="91">
        <f t="shared" si="17"/>
        <v>0</v>
      </c>
      <c r="G117" s="91">
        <f t="shared" si="18"/>
        <v>0</v>
      </c>
      <c r="H117" s="91">
        <f t="shared" si="19"/>
        <v>0</v>
      </c>
      <c r="I117" s="91">
        <f t="shared" si="20"/>
        <v>0</v>
      </c>
    </row>
    <row r="118" spans="1:9" ht="15.75">
      <c r="A118" s="15" t="s">
        <v>26</v>
      </c>
      <c r="B118" s="3"/>
      <c r="C118" s="3"/>
      <c r="D118" s="3"/>
      <c r="E118" s="3"/>
      <c r="F118" s="91">
        <f t="shared" si="17"/>
        <v>0</v>
      </c>
      <c r="G118" s="91">
        <f t="shared" si="18"/>
        <v>0</v>
      </c>
      <c r="H118" s="91">
        <f t="shared" si="19"/>
        <v>0</v>
      </c>
      <c r="I118" s="91">
        <f t="shared" si="20"/>
        <v>0</v>
      </c>
    </row>
    <row r="119" spans="1:9" ht="15.75">
      <c r="A119" s="15" t="s">
        <v>27</v>
      </c>
      <c r="B119" s="3"/>
      <c r="C119" s="3"/>
      <c r="D119" s="3"/>
      <c r="E119" s="3"/>
      <c r="F119" s="91">
        <f t="shared" si="17"/>
        <v>0</v>
      </c>
      <c r="G119" s="91">
        <f t="shared" si="18"/>
        <v>0</v>
      </c>
      <c r="H119" s="91">
        <f t="shared" si="19"/>
        <v>0</v>
      </c>
      <c r="I119" s="91">
        <f t="shared" si="20"/>
        <v>0</v>
      </c>
    </row>
    <row r="120" spans="1:9" ht="15.75">
      <c r="A120" s="15" t="s">
        <v>28</v>
      </c>
      <c r="B120" s="3"/>
      <c r="C120" s="3"/>
      <c r="D120" s="3"/>
      <c r="E120" s="3"/>
      <c r="F120" s="91">
        <f t="shared" si="17"/>
        <v>0</v>
      </c>
      <c r="G120" s="91">
        <f t="shared" si="18"/>
        <v>0</v>
      </c>
      <c r="H120" s="91">
        <f t="shared" si="19"/>
        <v>0</v>
      </c>
      <c r="I120" s="91">
        <f t="shared" si="20"/>
        <v>0</v>
      </c>
    </row>
    <row r="121" spans="1:9" ht="15.75">
      <c r="A121" s="15" t="s">
        <v>29</v>
      </c>
      <c r="B121" s="3"/>
      <c r="C121" s="3"/>
      <c r="D121" s="3"/>
      <c r="E121" s="3"/>
      <c r="F121" s="91">
        <f t="shared" si="17"/>
        <v>0</v>
      </c>
      <c r="G121" s="91">
        <f t="shared" si="18"/>
        <v>0</v>
      </c>
      <c r="H121" s="91">
        <f t="shared" si="19"/>
        <v>0</v>
      </c>
      <c r="I121" s="91">
        <f t="shared" si="20"/>
        <v>0</v>
      </c>
    </row>
    <row r="122" spans="1:9" ht="15.75">
      <c r="A122" s="15" t="s">
        <v>30</v>
      </c>
      <c r="B122" s="3"/>
      <c r="C122" s="3"/>
      <c r="D122" s="3"/>
      <c r="E122" s="3"/>
      <c r="F122" s="91">
        <f t="shared" si="17"/>
        <v>0</v>
      </c>
      <c r="G122" s="91">
        <f t="shared" si="18"/>
        <v>0</v>
      </c>
      <c r="H122" s="91">
        <f t="shared" si="19"/>
        <v>0</v>
      </c>
      <c r="I122" s="91">
        <f t="shared" si="20"/>
        <v>0</v>
      </c>
    </row>
    <row r="123" spans="1:9" ht="31.5">
      <c r="A123" s="22" t="s">
        <v>31</v>
      </c>
      <c r="B123" s="3"/>
      <c r="C123" s="3"/>
      <c r="D123" s="3"/>
      <c r="E123" s="3"/>
      <c r="F123" s="91">
        <f t="shared" si="17"/>
        <v>0</v>
      </c>
      <c r="G123" s="91">
        <f t="shared" si="18"/>
        <v>0</v>
      </c>
      <c r="H123" s="91">
        <f t="shared" si="19"/>
        <v>0</v>
      </c>
      <c r="I123" s="91">
        <f t="shared" si="20"/>
        <v>0</v>
      </c>
    </row>
    <row r="124" spans="1:9" ht="15.75">
      <c r="A124" s="87" t="s">
        <v>40</v>
      </c>
      <c r="B124" s="39">
        <f>SUM(B97:B123)</f>
        <v>28</v>
      </c>
      <c r="C124" s="39">
        <f>SUM(C97:C123)</f>
        <v>27</v>
      </c>
      <c r="D124" s="39">
        <f>SUM(D97:D123)</f>
        <v>21</v>
      </c>
      <c r="E124" s="39">
        <f>SUM(E97:E123)</f>
        <v>21</v>
      </c>
      <c r="F124" s="91">
        <f t="shared" si="17"/>
        <v>1.5376166941241076</v>
      </c>
      <c r="G124" s="91">
        <f t="shared" si="18"/>
        <v>1.6177351707609346</v>
      </c>
      <c r="H124" s="91">
        <f t="shared" si="19"/>
        <v>1.4613778705636742</v>
      </c>
      <c r="I124" s="91">
        <f t="shared" si="20"/>
        <v>1.7632241813602016</v>
      </c>
    </row>
    <row r="125" spans="1:9" ht="15.75">
      <c r="A125" s="17"/>
      <c r="B125" s="6"/>
      <c r="C125" s="6"/>
      <c r="D125" s="6"/>
      <c r="I125" s="6"/>
    </row>
    <row r="126" spans="1:5" ht="15.75">
      <c r="A126" s="17"/>
      <c r="B126" s="6"/>
      <c r="C126" s="6"/>
      <c r="D126" s="6"/>
      <c r="E126" s="6"/>
    </row>
    <row r="127" spans="1:5" ht="15.75">
      <c r="A127" s="17"/>
      <c r="B127" s="6"/>
      <c r="C127" s="6"/>
      <c r="D127" s="6"/>
      <c r="E127" s="6"/>
    </row>
    <row r="128" spans="1:5" ht="15.75">
      <c r="A128" s="17"/>
      <c r="B128" s="6"/>
      <c r="C128" s="6"/>
      <c r="D128" s="6"/>
      <c r="E128" s="6"/>
    </row>
    <row r="129" spans="1:5" ht="15.75">
      <c r="A129" s="17"/>
      <c r="B129" s="6"/>
      <c r="C129" s="6"/>
      <c r="D129" s="6"/>
      <c r="E129" s="6"/>
    </row>
    <row r="130" spans="1:5" ht="15.75">
      <c r="A130" s="17"/>
      <c r="B130" s="6"/>
      <c r="C130" s="6"/>
      <c r="D130" s="6"/>
      <c r="E130" s="6"/>
    </row>
    <row r="131" spans="1:5" ht="15.75">
      <c r="A131" s="7"/>
      <c r="B131" s="6"/>
      <c r="C131" s="6"/>
      <c r="D131" s="6"/>
      <c r="E131" s="6"/>
    </row>
    <row r="132" spans="1:5" ht="15.75">
      <c r="A132" s="17"/>
      <c r="B132" s="6"/>
      <c r="C132" s="6"/>
      <c r="D132" s="6"/>
      <c r="E132" s="6"/>
    </row>
  </sheetData>
  <sheetProtection/>
  <mergeCells count="4">
    <mergeCell ref="A33:J33"/>
    <mergeCell ref="A64:E64"/>
    <mergeCell ref="A1:J1"/>
    <mergeCell ref="A2:J2"/>
  </mergeCells>
  <printOptions/>
  <pageMargins left="0.75" right="0.75" top="1" bottom="1" header="0.4921259845" footer="0.4921259845"/>
  <pageSetup horizontalDpi="600" verticalDpi="600" orientation="landscape" paperSize="9" scale="70" r:id="rId1"/>
  <rowBreaks count="3" manualBreakCount="3">
    <brk id="32" max="255" man="1"/>
    <brk id="63" max="255" man="1"/>
    <brk id="9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216"/>
  <sheetViews>
    <sheetView view="pageBreakPreview" zoomScaleSheetLayoutView="100" zoomScalePageLayoutView="0" workbookViewId="0" topLeftCell="A115">
      <selection activeCell="A1" sqref="A1:K1"/>
    </sheetView>
  </sheetViews>
  <sheetFormatPr defaultColWidth="9.00390625" defaultRowHeight="15.75"/>
  <cols>
    <col min="1" max="1" width="24.125" style="0" customWidth="1"/>
    <col min="2" max="10" width="10.625" style="0" customWidth="1"/>
  </cols>
  <sheetData>
    <row r="1" spans="1:11" ht="31.5" customHeight="1">
      <c r="A1" s="475" t="s">
        <v>77</v>
      </c>
      <c r="B1" s="476"/>
      <c r="C1" s="476"/>
      <c r="D1" s="476"/>
      <c r="E1" s="476"/>
      <c r="F1" s="476"/>
      <c r="G1" s="476"/>
      <c r="H1" s="476"/>
      <c r="I1" s="476"/>
      <c r="J1" s="476"/>
      <c r="K1" s="477"/>
    </row>
    <row r="2" spans="1:12" ht="16.5" thickBot="1">
      <c r="A2" s="469" t="s">
        <v>38</v>
      </c>
      <c r="B2" s="469"/>
      <c r="C2" s="469"/>
      <c r="D2" s="469"/>
      <c r="E2" s="469"/>
      <c r="F2" s="469"/>
      <c r="G2" s="469"/>
      <c r="H2" s="469"/>
      <c r="I2" s="469"/>
      <c r="J2" s="469"/>
      <c r="K2" s="13"/>
      <c r="L2" s="6"/>
    </row>
    <row r="3" spans="1:12" ht="32.25" thickBot="1">
      <c r="A3" s="53" t="s">
        <v>53</v>
      </c>
      <c r="B3" s="54" t="s">
        <v>44</v>
      </c>
      <c r="C3" s="54" t="s">
        <v>45</v>
      </c>
      <c r="D3" s="55" t="s">
        <v>46</v>
      </c>
      <c r="E3" s="55" t="s">
        <v>47</v>
      </c>
      <c r="F3" s="55" t="s">
        <v>48</v>
      </c>
      <c r="G3" s="70" t="s">
        <v>49</v>
      </c>
      <c r="H3" s="70" t="s">
        <v>50</v>
      </c>
      <c r="I3" s="70" t="s">
        <v>51</v>
      </c>
      <c r="J3" s="71" t="s">
        <v>52</v>
      </c>
      <c r="K3" s="13"/>
      <c r="L3" s="6"/>
    </row>
    <row r="4" spans="1:12" ht="31.5">
      <c r="A4" s="51" t="s">
        <v>5</v>
      </c>
      <c r="B4" s="52">
        <v>7</v>
      </c>
      <c r="C4" s="52">
        <v>18</v>
      </c>
      <c r="D4" s="52">
        <v>17</v>
      </c>
      <c r="E4" s="52">
        <v>7</v>
      </c>
      <c r="F4" s="52">
        <v>7</v>
      </c>
      <c r="G4" s="88">
        <f>_xlfn.IFERROR(C4/B4,0)</f>
        <v>2.5714285714285716</v>
      </c>
      <c r="H4" s="88">
        <f>_xlfn.IFERROR(E4/D4,0)</f>
        <v>0.4117647058823529</v>
      </c>
      <c r="I4" s="88">
        <f>_xlfn.IFERROR(F4/E4,0)</f>
        <v>1</v>
      </c>
      <c r="J4" s="88">
        <f>_xlfn.IFERROR(F4/B4,0)</f>
        <v>1</v>
      </c>
      <c r="K4" s="13"/>
      <c r="L4" s="6"/>
    </row>
    <row r="5" spans="1:12" ht="15.75">
      <c r="A5" s="15" t="s">
        <v>6</v>
      </c>
      <c r="B5" s="3">
        <f>7+5</f>
        <v>12</v>
      </c>
      <c r="C5" s="3">
        <f>39+11</f>
        <v>50</v>
      </c>
      <c r="D5" s="3">
        <f>28+11</f>
        <v>39</v>
      </c>
      <c r="E5" s="3">
        <f>7+4</f>
        <v>11</v>
      </c>
      <c r="F5" s="3">
        <f>7+4</f>
        <v>11</v>
      </c>
      <c r="G5" s="89">
        <f aca="true" t="shared" si="0" ref="G5:G22">_xlfn.IFERROR(C5/B5,0)</f>
        <v>4.166666666666667</v>
      </c>
      <c r="H5" s="89">
        <f aca="true" t="shared" si="1" ref="H5:H22">_xlfn.IFERROR(E5/D5,0)</f>
        <v>0.28205128205128205</v>
      </c>
      <c r="I5" s="89">
        <f aca="true" t="shared" si="2" ref="I5:I22">_xlfn.IFERROR(F5/E5,0)</f>
        <v>1</v>
      </c>
      <c r="J5" s="89">
        <f aca="true" t="shared" si="3" ref="J5:J22">_xlfn.IFERROR(F5/B5,0)</f>
        <v>0.9166666666666666</v>
      </c>
      <c r="K5" s="13"/>
      <c r="L5" s="6"/>
    </row>
    <row r="6" spans="1:12" ht="15.75">
      <c r="A6" s="15" t="s">
        <v>7</v>
      </c>
      <c r="B6" s="3"/>
      <c r="C6" s="3"/>
      <c r="D6" s="3"/>
      <c r="E6" s="3"/>
      <c r="F6" s="3"/>
      <c r="G6" s="89">
        <f t="shared" si="0"/>
        <v>0</v>
      </c>
      <c r="H6" s="89">
        <f t="shared" si="1"/>
        <v>0</v>
      </c>
      <c r="I6" s="89">
        <f t="shared" si="2"/>
        <v>0</v>
      </c>
      <c r="J6" s="89">
        <f t="shared" si="3"/>
        <v>0</v>
      </c>
      <c r="K6" s="13"/>
      <c r="L6" s="6"/>
    </row>
    <row r="7" spans="1:12" ht="31.5">
      <c r="A7" s="15" t="s">
        <v>8</v>
      </c>
      <c r="B7" s="3">
        <f>2+2</f>
        <v>4</v>
      </c>
      <c r="C7" s="3">
        <f>8+12</f>
        <v>20</v>
      </c>
      <c r="D7" s="3">
        <f>7+12</f>
        <v>19</v>
      </c>
      <c r="E7" s="3">
        <f>2+2</f>
        <v>4</v>
      </c>
      <c r="F7" s="3">
        <f>2+2</f>
        <v>4</v>
      </c>
      <c r="G7" s="89">
        <f t="shared" si="0"/>
        <v>5</v>
      </c>
      <c r="H7" s="89">
        <f t="shared" si="1"/>
        <v>0.21052631578947367</v>
      </c>
      <c r="I7" s="89">
        <f t="shared" si="2"/>
        <v>1</v>
      </c>
      <c r="J7" s="89">
        <f t="shared" si="3"/>
        <v>1</v>
      </c>
      <c r="K7" s="13"/>
      <c r="L7" s="6"/>
    </row>
    <row r="8" spans="1:12" ht="15.75">
      <c r="A8" s="15" t="s">
        <v>9</v>
      </c>
      <c r="B8" s="3"/>
      <c r="C8" s="3"/>
      <c r="D8" s="3"/>
      <c r="E8" s="3"/>
      <c r="F8" s="3"/>
      <c r="G8" s="89">
        <f t="shared" si="0"/>
        <v>0</v>
      </c>
      <c r="H8" s="89">
        <f t="shared" si="1"/>
        <v>0</v>
      </c>
      <c r="I8" s="89">
        <f t="shared" si="2"/>
        <v>0</v>
      </c>
      <c r="J8" s="89">
        <f t="shared" si="3"/>
        <v>0</v>
      </c>
      <c r="K8" s="13"/>
      <c r="L8" s="6"/>
    </row>
    <row r="9" spans="1:12" ht="15.75">
      <c r="A9" s="15" t="s">
        <v>10</v>
      </c>
      <c r="B9" s="3"/>
      <c r="C9" s="3"/>
      <c r="D9" s="3"/>
      <c r="E9" s="3"/>
      <c r="F9" s="3"/>
      <c r="G9" s="89">
        <f t="shared" si="0"/>
        <v>0</v>
      </c>
      <c r="H9" s="89">
        <f t="shared" si="1"/>
        <v>0</v>
      </c>
      <c r="I9" s="89">
        <f t="shared" si="2"/>
        <v>0</v>
      </c>
      <c r="J9" s="89">
        <f t="shared" si="3"/>
        <v>0</v>
      </c>
      <c r="K9" s="13"/>
      <c r="L9" s="6"/>
    </row>
    <row r="10" spans="1:12" ht="15.75">
      <c r="A10" s="15" t="s">
        <v>11</v>
      </c>
      <c r="B10" s="3">
        <v>5</v>
      </c>
      <c r="C10" s="3">
        <v>58</v>
      </c>
      <c r="D10" s="3">
        <v>56</v>
      </c>
      <c r="E10" s="3">
        <v>6</v>
      </c>
      <c r="F10" s="3">
        <v>6</v>
      </c>
      <c r="G10" s="89">
        <f t="shared" si="0"/>
        <v>11.6</v>
      </c>
      <c r="H10" s="89">
        <f t="shared" si="1"/>
        <v>0.10714285714285714</v>
      </c>
      <c r="I10" s="89">
        <f t="shared" si="2"/>
        <v>1</v>
      </c>
      <c r="J10" s="89">
        <f t="shared" si="3"/>
        <v>1.2</v>
      </c>
      <c r="K10" s="13"/>
      <c r="L10" s="6"/>
    </row>
    <row r="11" spans="1:12" ht="15.75">
      <c r="A11" s="15" t="s">
        <v>12</v>
      </c>
      <c r="B11" s="3"/>
      <c r="C11" s="3"/>
      <c r="D11" s="3"/>
      <c r="E11" s="3"/>
      <c r="F11" s="3"/>
      <c r="G11" s="89">
        <f t="shared" si="0"/>
        <v>0</v>
      </c>
      <c r="H11" s="89">
        <f t="shared" si="1"/>
        <v>0</v>
      </c>
      <c r="I11" s="89">
        <f t="shared" si="2"/>
        <v>0</v>
      </c>
      <c r="J11" s="89">
        <f t="shared" si="3"/>
        <v>0</v>
      </c>
      <c r="K11" s="13"/>
      <c r="L11" s="6"/>
    </row>
    <row r="12" spans="1:12" ht="15.75">
      <c r="A12" s="15" t="s">
        <v>13</v>
      </c>
      <c r="B12" s="2"/>
      <c r="C12" s="2"/>
      <c r="D12" s="2"/>
      <c r="E12" s="2"/>
      <c r="F12" s="2"/>
      <c r="G12" s="89">
        <f t="shared" si="0"/>
        <v>0</v>
      </c>
      <c r="H12" s="89">
        <f t="shared" si="1"/>
        <v>0</v>
      </c>
      <c r="I12" s="89">
        <f t="shared" si="2"/>
        <v>0</v>
      </c>
      <c r="J12" s="89">
        <f t="shared" si="3"/>
        <v>0</v>
      </c>
      <c r="K12" s="13"/>
      <c r="L12" s="6"/>
    </row>
    <row r="13" spans="1:12" ht="31.5">
      <c r="A13" s="15" t="s">
        <v>14</v>
      </c>
      <c r="B13" s="22"/>
      <c r="C13" s="22"/>
      <c r="D13" s="2"/>
      <c r="E13" s="2"/>
      <c r="F13" s="2"/>
      <c r="G13" s="89">
        <f t="shared" si="0"/>
        <v>0</v>
      </c>
      <c r="H13" s="89">
        <f t="shared" si="1"/>
        <v>0</v>
      </c>
      <c r="I13" s="89">
        <f t="shared" si="2"/>
        <v>0</v>
      </c>
      <c r="J13" s="89">
        <f t="shared" si="3"/>
        <v>0</v>
      </c>
      <c r="K13" s="13"/>
      <c r="L13" s="6"/>
    </row>
    <row r="14" spans="1:12" ht="15.75">
      <c r="A14" s="15" t="s">
        <v>15</v>
      </c>
      <c r="B14" s="3"/>
      <c r="C14" s="3"/>
      <c r="D14" s="3"/>
      <c r="E14" s="3"/>
      <c r="F14" s="3"/>
      <c r="G14" s="89">
        <f t="shared" si="0"/>
        <v>0</v>
      </c>
      <c r="H14" s="89">
        <f t="shared" si="1"/>
        <v>0</v>
      </c>
      <c r="I14" s="89">
        <f t="shared" si="2"/>
        <v>0</v>
      </c>
      <c r="J14" s="89">
        <f t="shared" si="3"/>
        <v>0</v>
      </c>
      <c r="K14" s="13"/>
      <c r="L14" s="6"/>
    </row>
    <row r="15" spans="1:12" ht="47.25">
      <c r="A15" s="15" t="s">
        <v>16</v>
      </c>
      <c r="B15" s="3"/>
      <c r="C15" s="3"/>
      <c r="D15" s="3"/>
      <c r="E15" s="3"/>
      <c r="F15" s="3"/>
      <c r="G15" s="89">
        <f t="shared" si="0"/>
        <v>0</v>
      </c>
      <c r="H15" s="89">
        <f t="shared" si="1"/>
        <v>0</v>
      </c>
      <c r="I15" s="89">
        <f t="shared" si="2"/>
        <v>0</v>
      </c>
      <c r="J15" s="89">
        <f t="shared" si="3"/>
        <v>0</v>
      </c>
      <c r="K15" s="13"/>
      <c r="L15" s="6"/>
    </row>
    <row r="16" spans="1:12" ht="15.75">
      <c r="A16" s="15" t="s">
        <v>17</v>
      </c>
      <c r="B16" s="3"/>
      <c r="C16" s="3"/>
      <c r="D16" s="3"/>
      <c r="E16" s="3"/>
      <c r="F16" s="3"/>
      <c r="G16" s="89">
        <f t="shared" si="0"/>
        <v>0</v>
      </c>
      <c r="H16" s="89">
        <f t="shared" si="1"/>
        <v>0</v>
      </c>
      <c r="I16" s="89">
        <f t="shared" si="2"/>
        <v>0</v>
      </c>
      <c r="J16" s="89">
        <f t="shared" si="3"/>
        <v>0</v>
      </c>
      <c r="K16" s="13"/>
      <c r="L16" s="6"/>
    </row>
    <row r="17" spans="1:12" ht="15.75">
      <c r="A17" s="15" t="s">
        <v>18</v>
      </c>
      <c r="B17" s="3"/>
      <c r="C17" s="3"/>
      <c r="D17" s="3"/>
      <c r="E17" s="3"/>
      <c r="F17" s="3"/>
      <c r="G17" s="89">
        <f t="shared" si="0"/>
        <v>0</v>
      </c>
      <c r="H17" s="89">
        <f t="shared" si="1"/>
        <v>0</v>
      </c>
      <c r="I17" s="89">
        <f t="shared" si="2"/>
        <v>0</v>
      </c>
      <c r="J17" s="89">
        <f t="shared" si="3"/>
        <v>0</v>
      </c>
      <c r="K17" s="13"/>
      <c r="L17" s="6"/>
    </row>
    <row r="18" spans="1:12" ht="15.75">
      <c r="A18" s="15" t="s">
        <v>19</v>
      </c>
      <c r="B18" s="3"/>
      <c r="C18" s="3"/>
      <c r="D18" s="3"/>
      <c r="E18" s="3"/>
      <c r="F18" s="3"/>
      <c r="G18" s="89">
        <f t="shared" si="0"/>
        <v>0</v>
      </c>
      <c r="H18" s="89">
        <f t="shared" si="1"/>
        <v>0</v>
      </c>
      <c r="I18" s="89">
        <f t="shared" si="2"/>
        <v>0</v>
      </c>
      <c r="J18" s="89">
        <f t="shared" si="3"/>
        <v>0</v>
      </c>
      <c r="K18" s="13"/>
      <c r="L18" s="6"/>
    </row>
    <row r="19" spans="1:12" ht="15.75">
      <c r="A19" s="15" t="s">
        <v>20</v>
      </c>
      <c r="B19" s="3"/>
      <c r="C19" s="3"/>
      <c r="D19" s="3"/>
      <c r="E19" s="3"/>
      <c r="F19" s="3"/>
      <c r="G19" s="89">
        <f t="shared" si="0"/>
        <v>0</v>
      </c>
      <c r="H19" s="89">
        <f t="shared" si="1"/>
        <v>0</v>
      </c>
      <c r="I19" s="89">
        <f t="shared" si="2"/>
        <v>0</v>
      </c>
      <c r="J19" s="89">
        <f t="shared" si="3"/>
        <v>0</v>
      </c>
      <c r="K19" s="13"/>
      <c r="L19" s="6"/>
    </row>
    <row r="20" spans="1:12" ht="15.75">
      <c r="A20" s="15" t="s">
        <v>21</v>
      </c>
      <c r="B20" s="3"/>
      <c r="C20" s="3"/>
      <c r="D20" s="3"/>
      <c r="E20" s="3"/>
      <c r="F20" s="3"/>
      <c r="G20" s="89">
        <f t="shared" si="0"/>
        <v>0</v>
      </c>
      <c r="H20" s="89">
        <f t="shared" si="1"/>
        <v>0</v>
      </c>
      <c r="I20" s="89">
        <f t="shared" si="2"/>
        <v>0</v>
      </c>
      <c r="J20" s="89">
        <f t="shared" si="3"/>
        <v>0</v>
      </c>
      <c r="K20" s="8"/>
      <c r="L20" s="6"/>
    </row>
    <row r="21" spans="1:12" ht="15.75">
      <c r="A21" s="15" t="s">
        <v>22</v>
      </c>
      <c r="B21" s="3"/>
      <c r="C21" s="3"/>
      <c r="D21" s="3"/>
      <c r="E21" s="3"/>
      <c r="F21" s="3"/>
      <c r="G21" s="89">
        <f t="shared" si="0"/>
        <v>0</v>
      </c>
      <c r="H21" s="89">
        <f t="shared" si="1"/>
        <v>0</v>
      </c>
      <c r="I21" s="89">
        <f t="shared" si="2"/>
        <v>0</v>
      </c>
      <c r="J21" s="89">
        <f t="shared" si="3"/>
        <v>0</v>
      </c>
      <c r="K21" s="13"/>
      <c r="L21" s="6"/>
    </row>
    <row r="22" spans="1:12" ht="15.75">
      <c r="A22" s="15" t="s">
        <v>23</v>
      </c>
      <c r="B22" s="3"/>
      <c r="C22" s="3"/>
      <c r="D22" s="3"/>
      <c r="E22" s="3"/>
      <c r="F22" s="3"/>
      <c r="G22" s="89">
        <f t="shared" si="0"/>
        <v>0</v>
      </c>
      <c r="H22" s="89">
        <f t="shared" si="1"/>
        <v>0</v>
      </c>
      <c r="I22" s="89">
        <f t="shared" si="2"/>
        <v>0</v>
      </c>
      <c r="J22" s="89">
        <f t="shared" si="3"/>
        <v>0</v>
      </c>
      <c r="K22" s="13"/>
      <c r="L22" s="6"/>
    </row>
    <row r="23" spans="1:12" ht="15.75">
      <c r="A23" s="15" t="s">
        <v>24</v>
      </c>
      <c r="B23" s="3">
        <v>10</v>
      </c>
      <c r="C23" s="3">
        <v>14</v>
      </c>
      <c r="D23" s="3">
        <v>14</v>
      </c>
      <c r="E23" s="3">
        <v>7</v>
      </c>
      <c r="F23" s="3">
        <v>7</v>
      </c>
      <c r="G23" s="89">
        <f aca="true" t="shared" si="4" ref="G23:G31">_xlfn.IFERROR(C23/B23,0)</f>
        <v>1.4</v>
      </c>
      <c r="H23" s="89">
        <f aca="true" t="shared" si="5" ref="H23:H31">_xlfn.IFERROR(E23/D23,0)</f>
        <v>0.5</v>
      </c>
      <c r="I23" s="89">
        <f aca="true" t="shared" si="6" ref="I23:I31">_xlfn.IFERROR(F23/E23,0)</f>
        <v>1</v>
      </c>
      <c r="J23" s="89">
        <f aca="true" t="shared" si="7" ref="J23:J31">_xlfn.IFERROR(F23/B23,0)</f>
        <v>0.7</v>
      </c>
      <c r="K23" s="13"/>
      <c r="L23" s="6"/>
    </row>
    <row r="24" spans="1:12" ht="15.75">
      <c r="A24" s="15" t="s">
        <v>25</v>
      </c>
      <c r="B24" s="3"/>
      <c r="C24" s="3"/>
      <c r="D24" s="3"/>
      <c r="E24" s="3"/>
      <c r="F24" s="3"/>
      <c r="G24" s="89">
        <f t="shared" si="4"/>
        <v>0</v>
      </c>
      <c r="H24" s="89">
        <f t="shared" si="5"/>
        <v>0</v>
      </c>
      <c r="I24" s="89">
        <f t="shared" si="6"/>
        <v>0</v>
      </c>
      <c r="J24" s="89">
        <f t="shared" si="7"/>
        <v>0</v>
      </c>
      <c r="K24" s="13"/>
      <c r="L24" s="6"/>
    </row>
    <row r="25" spans="1:12" ht="15.75">
      <c r="A25" s="15" t="s">
        <v>26</v>
      </c>
      <c r="B25" s="3"/>
      <c r="C25" s="3"/>
      <c r="D25" s="3"/>
      <c r="E25" s="3"/>
      <c r="F25" s="3"/>
      <c r="G25" s="89">
        <f t="shared" si="4"/>
        <v>0</v>
      </c>
      <c r="H25" s="89">
        <f t="shared" si="5"/>
        <v>0</v>
      </c>
      <c r="I25" s="89">
        <f t="shared" si="6"/>
        <v>0</v>
      </c>
      <c r="J25" s="89">
        <f t="shared" si="7"/>
        <v>0</v>
      </c>
      <c r="K25" s="13"/>
      <c r="L25" s="6"/>
    </row>
    <row r="26" spans="1:12" ht="15.75">
      <c r="A26" s="15" t="s">
        <v>27</v>
      </c>
      <c r="B26" s="3"/>
      <c r="C26" s="3"/>
      <c r="D26" s="3"/>
      <c r="E26" s="3"/>
      <c r="F26" s="3"/>
      <c r="G26" s="89">
        <f t="shared" si="4"/>
        <v>0</v>
      </c>
      <c r="H26" s="89">
        <f t="shared" si="5"/>
        <v>0</v>
      </c>
      <c r="I26" s="89">
        <f t="shared" si="6"/>
        <v>0</v>
      </c>
      <c r="J26" s="89">
        <f t="shared" si="7"/>
        <v>0</v>
      </c>
      <c r="K26" s="13"/>
      <c r="L26" s="6"/>
    </row>
    <row r="27" spans="1:12" ht="15.75">
      <c r="A27" s="15" t="s">
        <v>28</v>
      </c>
      <c r="B27" s="3"/>
      <c r="C27" s="3"/>
      <c r="D27" s="3"/>
      <c r="E27" s="3"/>
      <c r="F27" s="3"/>
      <c r="G27" s="89">
        <f t="shared" si="4"/>
        <v>0</v>
      </c>
      <c r="H27" s="89">
        <f t="shared" si="5"/>
        <v>0</v>
      </c>
      <c r="I27" s="89">
        <f t="shared" si="6"/>
        <v>0</v>
      </c>
      <c r="J27" s="89">
        <f t="shared" si="7"/>
        <v>0</v>
      </c>
      <c r="K27" s="13"/>
      <c r="L27" s="6"/>
    </row>
    <row r="28" spans="1:12" ht="15.75">
      <c r="A28" s="15" t="s">
        <v>29</v>
      </c>
      <c r="B28" s="3"/>
      <c r="C28" s="3"/>
      <c r="D28" s="3"/>
      <c r="E28" s="3"/>
      <c r="F28" s="3"/>
      <c r="G28" s="89">
        <f t="shared" si="4"/>
        <v>0</v>
      </c>
      <c r="H28" s="89">
        <f t="shared" si="5"/>
        <v>0</v>
      </c>
      <c r="I28" s="89">
        <f t="shared" si="6"/>
        <v>0</v>
      </c>
      <c r="J28" s="89">
        <f t="shared" si="7"/>
        <v>0</v>
      </c>
      <c r="K28" s="13"/>
      <c r="L28" s="6"/>
    </row>
    <row r="29" spans="1:12" ht="15.75">
      <c r="A29" s="15" t="s">
        <v>30</v>
      </c>
      <c r="B29" s="3"/>
      <c r="C29" s="3"/>
      <c r="D29" s="3"/>
      <c r="E29" s="3"/>
      <c r="F29" s="3"/>
      <c r="G29" s="89">
        <f t="shared" si="4"/>
        <v>0</v>
      </c>
      <c r="H29" s="89">
        <f t="shared" si="5"/>
        <v>0</v>
      </c>
      <c r="I29" s="89">
        <f t="shared" si="6"/>
        <v>0</v>
      </c>
      <c r="J29" s="89">
        <f t="shared" si="7"/>
        <v>0</v>
      </c>
      <c r="K29" s="13"/>
      <c r="L29" s="6"/>
    </row>
    <row r="30" spans="1:12" ht="31.5">
      <c r="A30" s="22" t="s">
        <v>31</v>
      </c>
      <c r="B30" s="2"/>
      <c r="C30" s="2"/>
      <c r="D30" s="2"/>
      <c r="E30" s="2"/>
      <c r="F30" s="2"/>
      <c r="G30" s="89">
        <f t="shared" si="4"/>
        <v>0</v>
      </c>
      <c r="H30" s="89">
        <f t="shared" si="5"/>
        <v>0</v>
      </c>
      <c r="I30" s="89">
        <f t="shared" si="6"/>
        <v>0</v>
      </c>
      <c r="J30" s="89">
        <f t="shared" si="7"/>
        <v>0</v>
      </c>
      <c r="K30" s="13"/>
      <c r="L30" s="6"/>
    </row>
    <row r="31" spans="1:12" ht="15.75">
      <c r="A31" s="82" t="s">
        <v>40</v>
      </c>
      <c r="B31" s="39">
        <f>SUM(B4:B30)</f>
        <v>38</v>
      </c>
      <c r="C31" s="39">
        <f>SUM(C4:C30)</f>
        <v>160</v>
      </c>
      <c r="D31" s="39">
        <f>SUM(D4:D30)</f>
        <v>145</v>
      </c>
      <c r="E31" s="39">
        <f>SUM(E4:E30)</f>
        <v>35</v>
      </c>
      <c r="F31" s="39">
        <f>SUM(F4:F30)</f>
        <v>35</v>
      </c>
      <c r="G31" s="89">
        <f t="shared" si="4"/>
        <v>4.2105263157894735</v>
      </c>
      <c r="H31" s="89">
        <f t="shared" si="5"/>
        <v>0.2413793103448276</v>
      </c>
      <c r="I31" s="89">
        <f t="shared" si="6"/>
        <v>1</v>
      </c>
      <c r="J31" s="89">
        <f t="shared" si="7"/>
        <v>0.9210526315789473</v>
      </c>
      <c r="K31" s="13"/>
      <c r="L31" s="6"/>
    </row>
    <row r="32" spans="1:12" ht="15.75">
      <c r="A32" s="8"/>
      <c r="B32" s="6"/>
      <c r="C32" s="6"/>
      <c r="D32" s="6"/>
      <c r="E32" s="6"/>
      <c r="F32" s="6"/>
      <c r="G32" s="6"/>
      <c r="H32" s="6"/>
      <c r="I32" s="6"/>
      <c r="J32" s="6"/>
      <c r="K32" s="13"/>
      <c r="L32" s="6"/>
    </row>
    <row r="33" spans="1:12" ht="16.5" thickBot="1">
      <c r="A33" s="469" t="s">
        <v>39</v>
      </c>
      <c r="B33" s="469"/>
      <c r="C33" s="469"/>
      <c r="D33" s="469"/>
      <c r="E33" s="469"/>
      <c r="F33" s="469"/>
      <c r="G33" s="469"/>
      <c r="H33" s="469"/>
      <c r="I33" s="469"/>
      <c r="J33" s="469"/>
      <c r="K33" s="13"/>
      <c r="L33" s="6"/>
    </row>
    <row r="34" spans="1:12" ht="32.25" thickBot="1">
      <c r="A34" s="53" t="s">
        <v>53</v>
      </c>
      <c r="B34" s="54" t="s">
        <v>44</v>
      </c>
      <c r="C34" s="54" t="s">
        <v>45</v>
      </c>
      <c r="D34" s="55" t="s">
        <v>46</v>
      </c>
      <c r="E34" s="55" t="s">
        <v>47</v>
      </c>
      <c r="F34" s="55" t="s">
        <v>48</v>
      </c>
      <c r="G34" s="70" t="s">
        <v>49</v>
      </c>
      <c r="H34" s="70" t="s">
        <v>50</v>
      </c>
      <c r="I34" s="70" t="s">
        <v>51</v>
      </c>
      <c r="J34" s="71" t="s">
        <v>52</v>
      </c>
      <c r="K34" s="13"/>
      <c r="L34" s="6"/>
    </row>
    <row r="35" spans="1:12" ht="31.5">
      <c r="A35" s="51" t="s">
        <v>5</v>
      </c>
      <c r="B35" s="52">
        <v>0</v>
      </c>
      <c r="C35" s="52">
        <v>2</v>
      </c>
      <c r="D35" s="52">
        <v>2</v>
      </c>
      <c r="E35" s="52">
        <v>0</v>
      </c>
      <c r="F35" s="52">
        <v>0</v>
      </c>
      <c r="G35" s="88">
        <f>_xlfn.IFERROR(C35/B35,0)</f>
        <v>0</v>
      </c>
      <c r="H35" s="88">
        <f>_xlfn.IFERROR(E35/D35,0)</f>
        <v>0</v>
      </c>
      <c r="I35" s="88">
        <f>_xlfn.IFERROR(F35/E35,0)</f>
        <v>0</v>
      </c>
      <c r="J35" s="88">
        <f>_xlfn.IFERROR(F35/B35,0)</f>
        <v>0</v>
      </c>
      <c r="K35" s="13"/>
      <c r="L35" s="6"/>
    </row>
    <row r="36" spans="1:12" ht="20.25" customHeight="1">
      <c r="A36" s="15" t="s">
        <v>6</v>
      </c>
      <c r="B36" s="3">
        <f>7+5</f>
        <v>12</v>
      </c>
      <c r="C36" s="3">
        <f>7+3</f>
        <v>10</v>
      </c>
      <c r="D36" s="3">
        <f>6+3</f>
        <v>9</v>
      </c>
      <c r="E36" s="3">
        <f>4+2</f>
        <v>6</v>
      </c>
      <c r="F36" s="3">
        <f>4+2</f>
        <v>6</v>
      </c>
      <c r="G36" s="89">
        <f aca="true" t="shared" si="8" ref="G36:G46">_xlfn.IFERROR(C36/B36,0)</f>
        <v>0.8333333333333334</v>
      </c>
      <c r="H36" s="89">
        <f aca="true" t="shared" si="9" ref="H36:H46">_xlfn.IFERROR(E36/D36,0)</f>
        <v>0.6666666666666666</v>
      </c>
      <c r="I36" s="89">
        <f aca="true" t="shared" si="10" ref="I36:I46">_xlfn.IFERROR(F36/E36,0)</f>
        <v>1</v>
      </c>
      <c r="J36" s="89">
        <f aca="true" t="shared" si="11" ref="J36:J46">_xlfn.IFERROR(F36/B36,0)</f>
        <v>0.5</v>
      </c>
      <c r="K36" s="13"/>
      <c r="L36" s="6"/>
    </row>
    <row r="37" spans="1:12" ht="15.75">
      <c r="A37" s="15" t="s">
        <v>7</v>
      </c>
      <c r="B37" s="3"/>
      <c r="C37" s="3"/>
      <c r="D37" s="3"/>
      <c r="E37" s="3"/>
      <c r="F37" s="3"/>
      <c r="G37" s="89">
        <f t="shared" si="8"/>
        <v>0</v>
      </c>
      <c r="H37" s="89">
        <f t="shared" si="9"/>
        <v>0</v>
      </c>
      <c r="I37" s="89">
        <f t="shared" si="10"/>
        <v>0</v>
      </c>
      <c r="J37" s="89">
        <f t="shared" si="11"/>
        <v>0</v>
      </c>
      <c r="K37" s="13"/>
      <c r="L37" s="6"/>
    </row>
    <row r="38" spans="1:11" ht="31.5">
      <c r="A38" s="15" t="s">
        <v>8</v>
      </c>
      <c r="B38" s="3">
        <f>3+5</f>
        <v>8</v>
      </c>
      <c r="C38" s="3">
        <f>3+6</f>
        <v>9</v>
      </c>
      <c r="D38" s="3">
        <f>3+5</f>
        <v>8</v>
      </c>
      <c r="E38" s="3">
        <f>2+5</f>
        <v>7</v>
      </c>
      <c r="F38" s="3">
        <f>2+5</f>
        <v>7</v>
      </c>
      <c r="G38" s="89">
        <f t="shared" si="8"/>
        <v>1.125</v>
      </c>
      <c r="H38" s="89">
        <f t="shared" si="9"/>
        <v>0.875</v>
      </c>
      <c r="I38" s="89">
        <f t="shared" si="10"/>
        <v>1</v>
      </c>
      <c r="J38" s="89">
        <f t="shared" si="11"/>
        <v>0.875</v>
      </c>
      <c r="K38" s="9"/>
    </row>
    <row r="39" spans="1:11" ht="19.5" customHeight="1">
      <c r="A39" s="15" t="s">
        <v>9</v>
      </c>
      <c r="B39" s="3"/>
      <c r="C39" s="3"/>
      <c r="D39" s="3"/>
      <c r="E39" s="3"/>
      <c r="F39" s="3"/>
      <c r="G39" s="89">
        <f t="shared" si="8"/>
        <v>0</v>
      </c>
      <c r="H39" s="89">
        <f t="shared" si="9"/>
        <v>0</v>
      </c>
      <c r="I39" s="89">
        <f t="shared" si="10"/>
        <v>0</v>
      </c>
      <c r="J39" s="89">
        <f t="shared" si="11"/>
        <v>0</v>
      </c>
      <c r="K39" s="9"/>
    </row>
    <row r="40" spans="1:11" ht="20.25" customHeight="1">
      <c r="A40" s="15" t="s">
        <v>10</v>
      </c>
      <c r="B40" s="3"/>
      <c r="C40" s="3"/>
      <c r="D40" s="3"/>
      <c r="E40" s="3"/>
      <c r="F40" s="3"/>
      <c r="G40" s="89">
        <f t="shared" si="8"/>
        <v>0</v>
      </c>
      <c r="H40" s="89">
        <f t="shared" si="9"/>
        <v>0</v>
      </c>
      <c r="I40" s="89">
        <f t="shared" si="10"/>
        <v>0</v>
      </c>
      <c r="J40" s="89">
        <f t="shared" si="11"/>
        <v>0</v>
      </c>
      <c r="K40" s="9"/>
    </row>
    <row r="41" spans="1:11" ht="19.5" customHeight="1">
      <c r="A41" s="15" t="s">
        <v>11</v>
      </c>
      <c r="B41" s="3">
        <v>40</v>
      </c>
      <c r="C41" s="3">
        <v>47</v>
      </c>
      <c r="D41" s="3">
        <v>41</v>
      </c>
      <c r="E41" s="3">
        <v>41</v>
      </c>
      <c r="F41" s="3">
        <v>40</v>
      </c>
      <c r="G41" s="89">
        <f t="shared" si="8"/>
        <v>1.175</v>
      </c>
      <c r="H41" s="89">
        <f t="shared" si="9"/>
        <v>1</v>
      </c>
      <c r="I41" s="89">
        <f t="shared" si="10"/>
        <v>0.975609756097561</v>
      </c>
      <c r="J41" s="89">
        <f t="shared" si="11"/>
        <v>1</v>
      </c>
      <c r="K41" s="9"/>
    </row>
    <row r="42" spans="1:11" ht="18.75" customHeight="1">
      <c r="A42" s="15" t="s">
        <v>12</v>
      </c>
      <c r="B42" s="3"/>
      <c r="C42" s="3"/>
      <c r="D42" s="3"/>
      <c r="E42" s="3"/>
      <c r="F42" s="3"/>
      <c r="G42" s="89">
        <f t="shared" si="8"/>
        <v>0</v>
      </c>
      <c r="H42" s="89">
        <f t="shared" si="9"/>
        <v>0</v>
      </c>
      <c r="I42" s="89">
        <f t="shared" si="10"/>
        <v>0</v>
      </c>
      <c r="J42" s="89">
        <f t="shared" si="11"/>
        <v>0</v>
      </c>
      <c r="K42" s="9"/>
    </row>
    <row r="43" spans="1:11" ht="21.75" customHeight="1">
      <c r="A43" s="15" t="s">
        <v>13</v>
      </c>
      <c r="B43" s="2"/>
      <c r="C43" s="2"/>
      <c r="D43" s="2"/>
      <c r="E43" s="2"/>
      <c r="F43" s="2"/>
      <c r="G43" s="89">
        <f t="shared" si="8"/>
        <v>0</v>
      </c>
      <c r="H43" s="89">
        <f t="shared" si="9"/>
        <v>0</v>
      </c>
      <c r="I43" s="89">
        <f t="shared" si="10"/>
        <v>0</v>
      </c>
      <c r="J43" s="89">
        <f t="shared" si="11"/>
        <v>0</v>
      </c>
      <c r="K43" s="9"/>
    </row>
    <row r="44" spans="1:11" ht="31.5">
      <c r="A44" s="15" t="s">
        <v>14</v>
      </c>
      <c r="B44" s="22"/>
      <c r="C44" s="22"/>
      <c r="D44" s="2"/>
      <c r="E44" s="2"/>
      <c r="F44" s="2"/>
      <c r="G44" s="89">
        <f t="shared" si="8"/>
        <v>0</v>
      </c>
      <c r="H44" s="89">
        <f t="shared" si="9"/>
        <v>0</v>
      </c>
      <c r="I44" s="89">
        <f t="shared" si="10"/>
        <v>0</v>
      </c>
      <c r="J44" s="89">
        <f t="shared" si="11"/>
        <v>0</v>
      </c>
      <c r="K44" s="9"/>
    </row>
    <row r="45" spans="1:11" ht="15.75">
      <c r="A45" s="15" t="s">
        <v>15</v>
      </c>
      <c r="B45" s="3"/>
      <c r="C45" s="3"/>
      <c r="D45" s="3"/>
      <c r="E45" s="3"/>
      <c r="F45" s="3"/>
      <c r="G45" s="89">
        <f t="shared" si="8"/>
        <v>0</v>
      </c>
      <c r="H45" s="89">
        <f t="shared" si="9"/>
        <v>0</v>
      </c>
      <c r="I45" s="89">
        <f t="shared" si="10"/>
        <v>0</v>
      </c>
      <c r="J45" s="89">
        <f t="shared" si="11"/>
        <v>0</v>
      </c>
      <c r="K45" s="9"/>
    </row>
    <row r="46" spans="1:11" ht="47.25">
      <c r="A46" s="15" t="s">
        <v>16</v>
      </c>
      <c r="B46" s="3"/>
      <c r="C46" s="3"/>
      <c r="D46" s="3"/>
      <c r="E46" s="3"/>
      <c r="F46" s="3"/>
      <c r="G46" s="89">
        <f t="shared" si="8"/>
        <v>0</v>
      </c>
      <c r="H46" s="89">
        <f t="shared" si="9"/>
        <v>0</v>
      </c>
      <c r="I46" s="89">
        <f t="shared" si="10"/>
        <v>0</v>
      </c>
      <c r="J46" s="89">
        <f t="shared" si="11"/>
        <v>0</v>
      </c>
      <c r="K46" s="9"/>
    </row>
    <row r="47" spans="1:11" ht="15.75">
      <c r="A47" s="15" t="s">
        <v>17</v>
      </c>
      <c r="B47" s="3"/>
      <c r="C47" s="3"/>
      <c r="D47" s="3"/>
      <c r="E47" s="3"/>
      <c r="F47" s="3"/>
      <c r="G47" s="89">
        <f aca="true" t="shared" si="12" ref="G47:G62">_xlfn.IFERROR(C47/B47,0)</f>
        <v>0</v>
      </c>
      <c r="H47" s="89">
        <f aca="true" t="shared" si="13" ref="H47:H62">_xlfn.IFERROR(E47/D47,0)</f>
        <v>0</v>
      </c>
      <c r="I47" s="89">
        <f aca="true" t="shared" si="14" ref="I47:I62">_xlfn.IFERROR(F47/E47,0)</f>
        <v>0</v>
      </c>
      <c r="J47" s="89">
        <f aca="true" t="shared" si="15" ref="J47:J62">_xlfn.IFERROR(F47/B47,0)</f>
        <v>0</v>
      </c>
      <c r="K47" s="9"/>
    </row>
    <row r="48" spans="1:11" ht="15.75">
      <c r="A48" s="15" t="s">
        <v>18</v>
      </c>
      <c r="B48" s="3"/>
      <c r="C48" s="3"/>
      <c r="D48" s="3"/>
      <c r="E48" s="3"/>
      <c r="F48" s="3"/>
      <c r="G48" s="89">
        <f t="shared" si="12"/>
        <v>0</v>
      </c>
      <c r="H48" s="89">
        <f t="shared" si="13"/>
        <v>0</v>
      </c>
      <c r="I48" s="89">
        <f t="shared" si="14"/>
        <v>0</v>
      </c>
      <c r="J48" s="89">
        <f t="shared" si="15"/>
        <v>0</v>
      </c>
      <c r="K48" s="9"/>
    </row>
    <row r="49" spans="1:11" ht="15.75">
      <c r="A49" s="15" t="s">
        <v>19</v>
      </c>
      <c r="B49" s="3"/>
      <c r="C49" s="3"/>
      <c r="D49" s="3"/>
      <c r="E49" s="3"/>
      <c r="F49" s="3"/>
      <c r="G49" s="89">
        <f t="shared" si="12"/>
        <v>0</v>
      </c>
      <c r="H49" s="89">
        <f t="shared" si="13"/>
        <v>0</v>
      </c>
      <c r="I49" s="89">
        <f t="shared" si="14"/>
        <v>0</v>
      </c>
      <c r="J49" s="89">
        <f t="shared" si="15"/>
        <v>0</v>
      </c>
      <c r="K49" s="9"/>
    </row>
    <row r="50" spans="1:11" ht="15.75">
      <c r="A50" s="15" t="s">
        <v>20</v>
      </c>
      <c r="B50" s="3"/>
      <c r="C50" s="3"/>
      <c r="D50" s="3"/>
      <c r="E50" s="3"/>
      <c r="F50" s="3"/>
      <c r="G50" s="89">
        <f t="shared" si="12"/>
        <v>0</v>
      </c>
      <c r="H50" s="89">
        <f t="shared" si="13"/>
        <v>0</v>
      </c>
      <c r="I50" s="89">
        <f t="shared" si="14"/>
        <v>0</v>
      </c>
      <c r="J50" s="89">
        <f t="shared" si="15"/>
        <v>0</v>
      </c>
      <c r="K50" s="9"/>
    </row>
    <row r="51" spans="1:11" ht="15.75">
      <c r="A51" s="15" t="s">
        <v>21</v>
      </c>
      <c r="B51" s="3"/>
      <c r="C51" s="3"/>
      <c r="D51" s="3"/>
      <c r="E51" s="3"/>
      <c r="F51" s="3"/>
      <c r="G51" s="89">
        <f t="shared" si="12"/>
        <v>0</v>
      </c>
      <c r="H51" s="89">
        <f t="shared" si="13"/>
        <v>0</v>
      </c>
      <c r="I51" s="89">
        <f t="shared" si="14"/>
        <v>0</v>
      </c>
      <c r="J51" s="89">
        <f t="shared" si="15"/>
        <v>0</v>
      </c>
      <c r="K51" s="9"/>
    </row>
    <row r="52" spans="1:11" ht="15.75">
      <c r="A52" s="15" t="s">
        <v>22</v>
      </c>
      <c r="B52" s="3"/>
      <c r="C52" s="3"/>
      <c r="D52" s="3"/>
      <c r="E52" s="3"/>
      <c r="F52" s="3"/>
      <c r="G52" s="89">
        <f t="shared" si="12"/>
        <v>0</v>
      </c>
      <c r="H52" s="89">
        <f t="shared" si="13"/>
        <v>0</v>
      </c>
      <c r="I52" s="89">
        <f t="shared" si="14"/>
        <v>0</v>
      </c>
      <c r="J52" s="89">
        <f t="shared" si="15"/>
        <v>0</v>
      </c>
      <c r="K52" s="9"/>
    </row>
    <row r="53" spans="1:11" ht="15.75">
      <c r="A53" s="15" t="s">
        <v>23</v>
      </c>
      <c r="B53" s="3"/>
      <c r="C53" s="3"/>
      <c r="D53" s="3"/>
      <c r="E53" s="3"/>
      <c r="F53" s="3"/>
      <c r="G53" s="89">
        <f t="shared" si="12"/>
        <v>0</v>
      </c>
      <c r="H53" s="89">
        <f t="shared" si="13"/>
        <v>0</v>
      </c>
      <c r="I53" s="89">
        <f t="shared" si="14"/>
        <v>0</v>
      </c>
      <c r="J53" s="89">
        <f t="shared" si="15"/>
        <v>0</v>
      </c>
      <c r="K53" s="9"/>
    </row>
    <row r="54" spans="1:11" ht="20.25" customHeight="1">
      <c r="A54" s="15" t="s">
        <v>24</v>
      </c>
      <c r="B54" s="3">
        <v>15</v>
      </c>
      <c r="C54" s="3">
        <v>12</v>
      </c>
      <c r="D54" s="3">
        <v>11</v>
      </c>
      <c r="E54" s="3">
        <v>9</v>
      </c>
      <c r="F54" s="3">
        <v>9</v>
      </c>
      <c r="G54" s="89">
        <f t="shared" si="12"/>
        <v>0.8</v>
      </c>
      <c r="H54" s="89">
        <f t="shared" si="13"/>
        <v>0.8181818181818182</v>
      </c>
      <c r="I54" s="89">
        <f t="shared" si="14"/>
        <v>1</v>
      </c>
      <c r="J54" s="89">
        <f t="shared" si="15"/>
        <v>0.6</v>
      </c>
      <c r="K54" s="9"/>
    </row>
    <row r="55" spans="1:11" ht="15.75">
      <c r="A55" s="15" t="s">
        <v>25</v>
      </c>
      <c r="B55" s="3"/>
      <c r="C55" s="3"/>
      <c r="D55" s="3"/>
      <c r="E55" s="3"/>
      <c r="F55" s="3"/>
      <c r="G55" s="89">
        <f t="shared" si="12"/>
        <v>0</v>
      </c>
      <c r="H55" s="89">
        <f t="shared" si="13"/>
        <v>0</v>
      </c>
      <c r="I55" s="89">
        <f t="shared" si="14"/>
        <v>0</v>
      </c>
      <c r="J55" s="89">
        <f t="shared" si="15"/>
        <v>0</v>
      </c>
      <c r="K55" s="9"/>
    </row>
    <row r="56" spans="1:11" ht="20.25" customHeight="1">
      <c r="A56" s="15" t="s">
        <v>26</v>
      </c>
      <c r="B56" s="3"/>
      <c r="C56" s="3"/>
      <c r="D56" s="3"/>
      <c r="E56" s="3"/>
      <c r="F56" s="3"/>
      <c r="G56" s="89">
        <f t="shared" si="12"/>
        <v>0</v>
      </c>
      <c r="H56" s="89">
        <f t="shared" si="13"/>
        <v>0</v>
      </c>
      <c r="I56" s="89">
        <f t="shared" si="14"/>
        <v>0</v>
      </c>
      <c r="J56" s="89">
        <f t="shared" si="15"/>
        <v>0</v>
      </c>
      <c r="K56" s="9"/>
    </row>
    <row r="57" spans="1:11" ht="18" customHeight="1">
      <c r="A57" s="15" t="s">
        <v>27</v>
      </c>
      <c r="B57" s="3"/>
      <c r="C57" s="3"/>
      <c r="D57" s="3"/>
      <c r="E57" s="3"/>
      <c r="F57" s="3"/>
      <c r="G57" s="89">
        <f t="shared" si="12"/>
        <v>0</v>
      </c>
      <c r="H57" s="89">
        <f t="shared" si="13"/>
        <v>0</v>
      </c>
      <c r="I57" s="89">
        <f t="shared" si="14"/>
        <v>0</v>
      </c>
      <c r="J57" s="89">
        <f t="shared" si="15"/>
        <v>0</v>
      </c>
      <c r="K57" s="9"/>
    </row>
    <row r="58" spans="1:11" ht="17.25" customHeight="1">
      <c r="A58" s="15" t="s">
        <v>28</v>
      </c>
      <c r="B58" s="3"/>
      <c r="C58" s="3"/>
      <c r="D58" s="3"/>
      <c r="E58" s="3"/>
      <c r="F58" s="3"/>
      <c r="G58" s="89">
        <f t="shared" si="12"/>
        <v>0</v>
      </c>
      <c r="H58" s="89">
        <f t="shared" si="13"/>
        <v>0</v>
      </c>
      <c r="I58" s="89">
        <f t="shared" si="14"/>
        <v>0</v>
      </c>
      <c r="J58" s="89">
        <f t="shared" si="15"/>
        <v>0</v>
      </c>
      <c r="K58" s="9"/>
    </row>
    <row r="59" spans="1:11" ht="18" customHeight="1">
      <c r="A59" s="15" t="s">
        <v>29</v>
      </c>
      <c r="B59" s="3"/>
      <c r="C59" s="3"/>
      <c r="D59" s="3"/>
      <c r="E59" s="3"/>
      <c r="F59" s="3"/>
      <c r="G59" s="89">
        <f t="shared" si="12"/>
        <v>0</v>
      </c>
      <c r="H59" s="89">
        <f t="shared" si="13"/>
        <v>0</v>
      </c>
      <c r="I59" s="89">
        <f t="shared" si="14"/>
        <v>0</v>
      </c>
      <c r="J59" s="89">
        <f t="shared" si="15"/>
        <v>0</v>
      </c>
      <c r="K59" s="9"/>
    </row>
    <row r="60" spans="1:11" ht="18" customHeight="1">
      <c r="A60" s="15" t="s">
        <v>30</v>
      </c>
      <c r="B60" s="3"/>
      <c r="C60" s="3"/>
      <c r="D60" s="3"/>
      <c r="E60" s="3"/>
      <c r="F60" s="3"/>
      <c r="G60" s="89">
        <f t="shared" si="12"/>
        <v>0</v>
      </c>
      <c r="H60" s="89">
        <f t="shared" si="13"/>
        <v>0</v>
      </c>
      <c r="I60" s="89">
        <f t="shared" si="14"/>
        <v>0</v>
      </c>
      <c r="J60" s="89">
        <f t="shared" si="15"/>
        <v>0</v>
      </c>
      <c r="K60" s="9"/>
    </row>
    <row r="61" spans="1:11" ht="31.5">
      <c r="A61" s="22" t="s">
        <v>31</v>
      </c>
      <c r="B61" s="2"/>
      <c r="C61" s="2"/>
      <c r="D61" s="2"/>
      <c r="E61" s="2"/>
      <c r="F61" s="2"/>
      <c r="G61" s="89">
        <f t="shared" si="12"/>
        <v>0</v>
      </c>
      <c r="H61" s="89">
        <f t="shared" si="13"/>
        <v>0</v>
      </c>
      <c r="I61" s="89">
        <f t="shared" si="14"/>
        <v>0</v>
      </c>
      <c r="J61" s="89">
        <f t="shared" si="15"/>
        <v>0</v>
      </c>
      <c r="K61" s="9"/>
    </row>
    <row r="62" spans="1:11" ht="15.75">
      <c r="A62" s="82" t="s">
        <v>40</v>
      </c>
      <c r="B62" s="39">
        <f>SUM(B35:B61)</f>
        <v>75</v>
      </c>
      <c r="C62" s="39">
        <f>SUM(C35:C61)</f>
        <v>80</v>
      </c>
      <c r="D62" s="39">
        <f>SUM(D35:D61)</f>
        <v>71</v>
      </c>
      <c r="E62" s="39">
        <f>SUM(E35:E61)</f>
        <v>63</v>
      </c>
      <c r="F62" s="39">
        <f>SUM(F35:F61)</f>
        <v>62</v>
      </c>
      <c r="G62" s="89">
        <f t="shared" si="12"/>
        <v>1.0666666666666667</v>
      </c>
      <c r="H62" s="89">
        <f t="shared" si="13"/>
        <v>0.8873239436619719</v>
      </c>
      <c r="I62" s="89">
        <f t="shared" si="14"/>
        <v>0.9841269841269841</v>
      </c>
      <c r="J62" s="89">
        <f t="shared" si="15"/>
        <v>0.8266666666666667</v>
      </c>
      <c r="K62" s="9"/>
    </row>
    <row r="63" spans="1:11" ht="16.5" thickBot="1">
      <c r="A63" s="478" t="s">
        <v>75</v>
      </c>
      <c r="B63" s="479"/>
      <c r="C63" s="479"/>
      <c r="D63" s="479"/>
      <c r="E63" s="480"/>
      <c r="K63" s="9"/>
    </row>
    <row r="64" spans="1:11" ht="63.75" thickBot="1">
      <c r="A64" s="65" t="s">
        <v>53</v>
      </c>
      <c r="B64" s="66" t="s">
        <v>45</v>
      </c>
      <c r="C64" s="67" t="s">
        <v>46</v>
      </c>
      <c r="D64" s="67" t="s">
        <v>47</v>
      </c>
      <c r="E64" s="67" t="s">
        <v>48</v>
      </c>
      <c r="F64" s="68" t="s">
        <v>91</v>
      </c>
      <c r="G64" s="68" t="s">
        <v>92</v>
      </c>
      <c r="H64" s="68" t="s">
        <v>93</v>
      </c>
      <c r="I64" s="69" t="s">
        <v>94</v>
      </c>
      <c r="K64" s="9"/>
    </row>
    <row r="65" spans="1:11" ht="31.5">
      <c r="A65" s="51" t="s">
        <v>5</v>
      </c>
      <c r="B65" s="52">
        <v>12</v>
      </c>
      <c r="C65" s="52">
        <v>12</v>
      </c>
      <c r="D65" s="52">
        <v>4</v>
      </c>
      <c r="E65" s="52">
        <v>4</v>
      </c>
      <c r="F65" s="90">
        <f aca="true" t="shared" si="16" ref="F65:F92">+_xlfn.IFERROR(B65/(C4+C35),0)*100</f>
        <v>60</v>
      </c>
      <c r="G65" s="90">
        <f aca="true" t="shared" si="17" ref="G65:G92">+_xlfn.IFERROR(C65/(D4+D35),0)*100</f>
        <v>63.1578947368421</v>
      </c>
      <c r="H65" s="90">
        <f aca="true" t="shared" si="18" ref="H65:H92">+_xlfn.IFERROR(D65/(E4+E35),0)*100</f>
        <v>57.14285714285714</v>
      </c>
      <c r="I65" s="90">
        <f aca="true" t="shared" si="19" ref="I65:I92">+_xlfn.IFERROR(E65/(F4+F35),0)*100</f>
        <v>57.14285714285714</v>
      </c>
      <c r="K65" s="9"/>
    </row>
    <row r="66" spans="1:11" ht="15.75">
      <c r="A66" s="15" t="s">
        <v>6</v>
      </c>
      <c r="B66" s="3">
        <f>35+14</f>
        <v>49</v>
      </c>
      <c r="C66" s="3">
        <f>28+14</f>
        <v>42</v>
      </c>
      <c r="D66" s="3">
        <f>9+6</f>
        <v>15</v>
      </c>
      <c r="E66" s="3">
        <f>9+6</f>
        <v>15</v>
      </c>
      <c r="F66" s="91">
        <f t="shared" si="16"/>
        <v>81.66666666666667</v>
      </c>
      <c r="G66" s="91">
        <f t="shared" si="17"/>
        <v>87.5</v>
      </c>
      <c r="H66" s="91">
        <f t="shared" si="18"/>
        <v>88.23529411764706</v>
      </c>
      <c r="I66" s="91">
        <f t="shared" si="19"/>
        <v>88.23529411764706</v>
      </c>
      <c r="K66" s="9"/>
    </row>
    <row r="67" spans="1:11" ht="15.75">
      <c r="A67" s="15" t="s">
        <v>7</v>
      </c>
      <c r="B67" s="3"/>
      <c r="C67" s="3"/>
      <c r="D67" s="3"/>
      <c r="E67" s="3"/>
      <c r="F67" s="91">
        <f t="shared" si="16"/>
        <v>0</v>
      </c>
      <c r="G67" s="91">
        <f t="shared" si="17"/>
        <v>0</v>
      </c>
      <c r="H67" s="91">
        <f t="shared" si="18"/>
        <v>0</v>
      </c>
      <c r="I67" s="91">
        <f t="shared" si="19"/>
        <v>0</v>
      </c>
      <c r="K67" s="9"/>
    </row>
    <row r="68" spans="1:11" ht="31.5">
      <c r="A68" s="15" t="s">
        <v>8</v>
      </c>
      <c r="B68" s="3">
        <f>4+10</f>
        <v>14</v>
      </c>
      <c r="C68" s="3">
        <f>4+10</f>
        <v>14</v>
      </c>
      <c r="D68" s="3">
        <f>2+2</f>
        <v>4</v>
      </c>
      <c r="E68" s="3">
        <f>2+2</f>
        <v>4</v>
      </c>
      <c r="F68" s="91">
        <f t="shared" si="16"/>
        <v>48.275862068965516</v>
      </c>
      <c r="G68" s="91">
        <f t="shared" si="17"/>
        <v>51.85185185185185</v>
      </c>
      <c r="H68" s="91">
        <f t="shared" si="18"/>
        <v>36.36363636363637</v>
      </c>
      <c r="I68" s="91">
        <f t="shared" si="19"/>
        <v>36.36363636363637</v>
      </c>
      <c r="K68" s="9"/>
    </row>
    <row r="69" spans="1:11" ht="15.75">
      <c r="A69" s="15" t="s">
        <v>9</v>
      </c>
      <c r="B69" s="3"/>
      <c r="C69" s="3"/>
      <c r="D69" s="3"/>
      <c r="E69" s="3"/>
      <c r="F69" s="91">
        <f t="shared" si="16"/>
        <v>0</v>
      </c>
      <c r="G69" s="91">
        <f t="shared" si="17"/>
        <v>0</v>
      </c>
      <c r="H69" s="91">
        <f t="shared" si="18"/>
        <v>0</v>
      </c>
      <c r="I69" s="91">
        <f t="shared" si="19"/>
        <v>0</v>
      </c>
      <c r="K69" s="9"/>
    </row>
    <row r="70" spans="1:11" ht="15.75">
      <c r="A70" s="15" t="s">
        <v>10</v>
      </c>
      <c r="B70" s="3"/>
      <c r="C70" s="3"/>
      <c r="D70" s="3"/>
      <c r="E70" s="3"/>
      <c r="F70" s="91">
        <f t="shared" si="16"/>
        <v>0</v>
      </c>
      <c r="G70" s="91">
        <f t="shared" si="17"/>
        <v>0</v>
      </c>
      <c r="H70" s="91">
        <f t="shared" si="18"/>
        <v>0</v>
      </c>
      <c r="I70" s="91">
        <f t="shared" si="19"/>
        <v>0</v>
      </c>
      <c r="K70" s="9"/>
    </row>
    <row r="71" spans="1:11" ht="15.75">
      <c r="A71" s="15" t="s">
        <v>11</v>
      </c>
      <c r="B71" s="3">
        <v>44</v>
      </c>
      <c r="C71" s="3">
        <v>44</v>
      </c>
      <c r="D71" s="3">
        <v>16</v>
      </c>
      <c r="E71" s="3">
        <v>16</v>
      </c>
      <c r="F71" s="91">
        <f t="shared" si="16"/>
        <v>41.904761904761905</v>
      </c>
      <c r="G71" s="91">
        <f t="shared" si="17"/>
        <v>45.36082474226804</v>
      </c>
      <c r="H71" s="91">
        <f t="shared" si="18"/>
        <v>34.04255319148936</v>
      </c>
      <c r="I71" s="91">
        <f t="shared" si="19"/>
        <v>34.78260869565217</v>
      </c>
      <c r="K71" s="9"/>
    </row>
    <row r="72" spans="1:11" ht="15.75">
      <c r="A72" s="15" t="s">
        <v>12</v>
      </c>
      <c r="B72" s="2"/>
      <c r="C72" s="2"/>
      <c r="D72" s="2"/>
      <c r="E72" s="2"/>
      <c r="F72" s="91">
        <f t="shared" si="16"/>
        <v>0</v>
      </c>
      <c r="G72" s="91">
        <f t="shared" si="17"/>
        <v>0</v>
      </c>
      <c r="H72" s="91">
        <f t="shared" si="18"/>
        <v>0</v>
      </c>
      <c r="I72" s="91">
        <f t="shared" si="19"/>
        <v>0</v>
      </c>
      <c r="K72" s="9"/>
    </row>
    <row r="73" spans="1:11" ht="15.75">
      <c r="A73" s="15" t="s">
        <v>13</v>
      </c>
      <c r="B73" s="22"/>
      <c r="C73" s="2"/>
      <c r="D73" s="2"/>
      <c r="E73" s="2"/>
      <c r="F73" s="91">
        <f t="shared" si="16"/>
        <v>0</v>
      </c>
      <c r="G73" s="91">
        <f t="shared" si="17"/>
        <v>0</v>
      </c>
      <c r="H73" s="91">
        <f t="shared" si="18"/>
        <v>0</v>
      </c>
      <c r="I73" s="91">
        <f t="shared" si="19"/>
        <v>0</v>
      </c>
      <c r="K73" s="9"/>
    </row>
    <row r="74" spans="1:11" ht="31.5">
      <c r="A74" s="15" t="s">
        <v>14</v>
      </c>
      <c r="B74" s="3"/>
      <c r="C74" s="3"/>
      <c r="D74" s="3"/>
      <c r="E74" s="3"/>
      <c r="F74" s="91">
        <f t="shared" si="16"/>
        <v>0</v>
      </c>
      <c r="G74" s="91">
        <f t="shared" si="17"/>
        <v>0</v>
      </c>
      <c r="H74" s="91">
        <f t="shared" si="18"/>
        <v>0</v>
      </c>
      <c r="I74" s="91">
        <f t="shared" si="19"/>
        <v>0</v>
      </c>
      <c r="K74" s="9"/>
    </row>
    <row r="75" spans="1:11" ht="15.75">
      <c r="A75" s="15" t="s">
        <v>15</v>
      </c>
      <c r="B75" s="3"/>
      <c r="C75" s="3"/>
      <c r="D75" s="3"/>
      <c r="E75" s="3"/>
      <c r="F75" s="91">
        <f t="shared" si="16"/>
        <v>0</v>
      </c>
      <c r="G75" s="91">
        <f t="shared" si="17"/>
        <v>0</v>
      </c>
      <c r="H75" s="91">
        <f t="shared" si="18"/>
        <v>0</v>
      </c>
      <c r="I75" s="91">
        <f t="shared" si="19"/>
        <v>0</v>
      </c>
      <c r="K75" s="9"/>
    </row>
    <row r="76" spans="1:11" ht="47.25">
      <c r="A76" s="15" t="s">
        <v>16</v>
      </c>
      <c r="B76" s="3"/>
      <c r="C76" s="3"/>
      <c r="D76" s="3"/>
      <c r="E76" s="3"/>
      <c r="F76" s="91">
        <f t="shared" si="16"/>
        <v>0</v>
      </c>
      <c r="G76" s="91">
        <f t="shared" si="17"/>
        <v>0</v>
      </c>
      <c r="H76" s="91">
        <f t="shared" si="18"/>
        <v>0</v>
      </c>
      <c r="I76" s="91">
        <f t="shared" si="19"/>
        <v>0</v>
      </c>
      <c r="K76" s="9"/>
    </row>
    <row r="77" spans="1:11" ht="15.75">
      <c r="A77" s="15" t="s">
        <v>17</v>
      </c>
      <c r="B77" s="3"/>
      <c r="C77" s="3"/>
      <c r="D77" s="3"/>
      <c r="E77" s="3"/>
      <c r="F77" s="91">
        <f t="shared" si="16"/>
        <v>0</v>
      </c>
      <c r="G77" s="91">
        <f t="shared" si="17"/>
        <v>0</v>
      </c>
      <c r="H77" s="91">
        <f t="shared" si="18"/>
        <v>0</v>
      </c>
      <c r="I77" s="91">
        <f t="shared" si="19"/>
        <v>0</v>
      </c>
      <c r="K77" s="9"/>
    </row>
    <row r="78" spans="1:11" ht="15.75">
      <c r="A78" s="15" t="s">
        <v>18</v>
      </c>
      <c r="B78" s="3"/>
      <c r="C78" s="3"/>
      <c r="D78" s="3"/>
      <c r="E78" s="3"/>
      <c r="F78" s="91">
        <f t="shared" si="16"/>
        <v>0</v>
      </c>
      <c r="G78" s="91">
        <f t="shared" si="17"/>
        <v>0</v>
      </c>
      <c r="H78" s="91">
        <f t="shared" si="18"/>
        <v>0</v>
      </c>
      <c r="I78" s="91">
        <f t="shared" si="19"/>
        <v>0</v>
      </c>
      <c r="K78" s="9"/>
    </row>
    <row r="79" spans="1:11" ht="15.75">
      <c r="A79" s="15" t="s">
        <v>19</v>
      </c>
      <c r="B79" s="3"/>
      <c r="C79" s="3"/>
      <c r="D79" s="3"/>
      <c r="E79" s="3"/>
      <c r="F79" s="91">
        <f t="shared" si="16"/>
        <v>0</v>
      </c>
      <c r="G79" s="91">
        <f t="shared" si="17"/>
        <v>0</v>
      </c>
      <c r="H79" s="91">
        <f t="shared" si="18"/>
        <v>0</v>
      </c>
      <c r="I79" s="91">
        <f t="shared" si="19"/>
        <v>0</v>
      </c>
      <c r="K79" s="9"/>
    </row>
    <row r="80" spans="1:11" ht="15.75">
      <c r="A80" s="15" t="s">
        <v>20</v>
      </c>
      <c r="B80" s="3"/>
      <c r="C80" s="3"/>
      <c r="D80" s="3"/>
      <c r="E80" s="3"/>
      <c r="F80" s="91">
        <f t="shared" si="16"/>
        <v>0</v>
      </c>
      <c r="G80" s="91">
        <f t="shared" si="17"/>
        <v>0</v>
      </c>
      <c r="H80" s="91">
        <f t="shared" si="18"/>
        <v>0</v>
      </c>
      <c r="I80" s="91">
        <f t="shared" si="19"/>
        <v>0</v>
      </c>
      <c r="K80" s="9"/>
    </row>
    <row r="81" spans="1:11" ht="15.75">
      <c r="A81" s="15" t="s">
        <v>21</v>
      </c>
      <c r="B81" s="3"/>
      <c r="C81" s="3"/>
      <c r="D81" s="3"/>
      <c r="E81" s="3"/>
      <c r="F81" s="91">
        <f t="shared" si="16"/>
        <v>0</v>
      </c>
      <c r="G81" s="91">
        <f t="shared" si="17"/>
        <v>0</v>
      </c>
      <c r="H81" s="91">
        <f t="shared" si="18"/>
        <v>0</v>
      </c>
      <c r="I81" s="91">
        <f t="shared" si="19"/>
        <v>0</v>
      </c>
      <c r="K81" s="9"/>
    </row>
    <row r="82" spans="1:11" ht="15.75">
      <c r="A82" s="15" t="s">
        <v>22</v>
      </c>
      <c r="B82" s="3"/>
      <c r="C82" s="3"/>
      <c r="D82" s="3"/>
      <c r="E82" s="3"/>
      <c r="F82" s="91">
        <f t="shared" si="16"/>
        <v>0</v>
      </c>
      <c r="G82" s="91">
        <f t="shared" si="17"/>
        <v>0</v>
      </c>
      <c r="H82" s="91">
        <f t="shared" si="18"/>
        <v>0</v>
      </c>
      <c r="I82" s="91">
        <f t="shared" si="19"/>
        <v>0</v>
      </c>
      <c r="K82" s="9"/>
    </row>
    <row r="83" spans="1:11" ht="15.75">
      <c r="A83" s="15" t="s">
        <v>23</v>
      </c>
      <c r="B83" s="3"/>
      <c r="C83" s="3"/>
      <c r="D83" s="3"/>
      <c r="E83" s="3"/>
      <c r="F83" s="91">
        <f t="shared" si="16"/>
        <v>0</v>
      </c>
      <c r="G83" s="91">
        <f t="shared" si="17"/>
        <v>0</v>
      </c>
      <c r="H83" s="91">
        <f t="shared" si="18"/>
        <v>0</v>
      </c>
      <c r="I83" s="91">
        <f t="shared" si="19"/>
        <v>0</v>
      </c>
      <c r="K83" s="9"/>
    </row>
    <row r="84" spans="1:11" ht="15.75">
      <c r="A84" s="15" t="s">
        <v>24</v>
      </c>
      <c r="B84" s="3">
        <v>10</v>
      </c>
      <c r="C84" s="3">
        <v>10</v>
      </c>
      <c r="D84" s="3">
        <v>7</v>
      </c>
      <c r="E84" s="3">
        <v>7</v>
      </c>
      <c r="F84" s="91">
        <f t="shared" si="16"/>
        <v>38.46153846153847</v>
      </c>
      <c r="G84" s="91">
        <f t="shared" si="17"/>
        <v>40</v>
      </c>
      <c r="H84" s="91">
        <f t="shared" si="18"/>
        <v>43.75</v>
      </c>
      <c r="I84" s="91">
        <f t="shared" si="19"/>
        <v>43.75</v>
      </c>
      <c r="K84" s="9"/>
    </row>
    <row r="85" spans="1:11" ht="15.75">
      <c r="A85" s="15" t="s">
        <v>25</v>
      </c>
      <c r="B85" s="3"/>
      <c r="C85" s="3"/>
      <c r="D85" s="3"/>
      <c r="E85" s="3"/>
      <c r="F85" s="91">
        <f t="shared" si="16"/>
        <v>0</v>
      </c>
      <c r="G85" s="91">
        <f t="shared" si="17"/>
        <v>0</v>
      </c>
      <c r="H85" s="91">
        <f t="shared" si="18"/>
        <v>0</v>
      </c>
      <c r="I85" s="91">
        <f t="shared" si="19"/>
        <v>0</v>
      </c>
      <c r="K85" s="9"/>
    </row>
    <row r="86" spans="1:11" ht="15.75">
      <c r="A86" s="15" t="s">
        <v>26</v>
      </c>
      <c r="B86" s="3"/>
      <c r="C86" s="3"/>
      <c r="D86" s="3"/>
      <c r="E86" s="3"/>
      <c r="F86" s="91">
        <f t="shared" si="16"/>
        <v>0</v>
      </c>
      <c r="G86" s="91">
        <f t="shared" si="17"/>
        <v>0</v>
      </c>
      <c r="H86" s="91">
        <f t="shared" si="18"/>
        <v>0</v>
      </c>
      <c r="I86" s="91">
        <f t="shared" si="19"/>
        <v>0</v>
      </c>
      <c r="K86" s="9"/>
    </row>
    <row r="87" spans="1:11" ht="15.75">
      <c r="A87" s="15" t="s">
        <v>27</v>
      </c>
      <c r="B87" s="3"/>
      <c r="C87" s="3"/>
      <c r="D87" s="3"/>
      <c r="E87" s="3"/>
      <c r="F87" s="91">
        <f t="shared" si="16"/>
        <v>0</v>
      </c>
      <c r="G87" s="91">
        <f t="shared" si="17"/>
        <v>0</v>
      </c>
      <c r="H87" s="91">
        <f t="shared" si="18"/>
        <v>0</v>
      </c>
      <c r="I87" s="91">
        <f t="shared" si="19"/>
        <v>0</v>
      </c>
      <c r="K87" s="9"/>
    </row>
    <row r="88" spans="1:11" ht="15.75">
      <c r="A88" s="15" t="s">
        <v>28</v>
      </c>
      <c r="B88" s="3"/>
      <c r="C88" s="3"/>
      <c r="D88" s="3"/>
      <c r="E88" s="3"/>
      <c r="F88" s="91">
        <f t="shared" si="16"/>
        <v>0</v>
      </c>
      <c r="G88" s="91">
        <f t="shared" si="17"/>
        <v>0</v>
      </c>
      <c r="H88" s="91">
        <f t="shared" si="18"/>
        <v>0</v>
      </c>
      <c r="I88" s="91">
        <f t="shared" si="19"/>
        <v>0</v>
      </c>
      <c r="K88" s="9"/>
    </row>
    <row r="89" spans="1:11" ht="15.75">
      <c r="A89" s="15" t="s">
        <v>29</v>
      </c>
      <c r="B89" s="3"/>
      <c r="C89" s="3"/>
      <c r="D89" s="3"/>
      <c r="E89" s="3"/>
      <c r="F89" s="91">
        <f t="shared" si="16"/>
        <v>0</v>
      </c>
      <c r="G89" s="91">
        <f t="shared" si="17"/>
        <v>0</v>
      </c>
      <c r="H89" s="91">
        <f t="shared" si="18"/>
        <v>0</v>
      </c>
      <c r="I89" s="91">
        <f t="shared" si="19"/>
        <v>0</v>
      </c>
      <c r="K89" s="9"/>
    </row>
    <row r="90" spans="1:11" ht="15.75">
      <c r="A90" s="15" t="s">
        <v>30</v>
      </c>
      <c r="B90" s="3"/>
      <c r="C90" s="3"/>
      <c r="D90" s="3"/>
      <c r="E90" s="3"/>
      <c r="F90" s="91">
        <f t="shared" si="16"/>
        <v>0</v>
      </c>
      <c r="G90" s="91">
        <f t="shared" si="17"/>
        <v>0</v>
      </c>
      <c r="H90" s="91">
        <f t="shared" si="18"/>
        <v>0</v>
      </c>
      <c r="I90" s="91">
        <f t="shared" si="19"/>
        <v>0</v>
      </c>
      <c r="K90" s="9"/>
    </row>
    <row r="91" spans="1:11" ht="31.5">
      <c r="A91" s="22" t="s">
        <v>31</v>
      </c>
      <c r="B91" s="3"/>
      <c r="C91" s="3"/>
      <c r="D91" s="3"/>
      <c r="E91" s="3"/>
      <c r="F91" s="91">
        <f t="shared" si="16"/>
        <v>0</v>
      </c>
      <c r="G91" s="91">
        <f t="shared" si="17"/>
        <v>0</v>
      </c>
      <c r="H91" s="91">
        <f t="shared" si="18"/>
        <v>0</v>
      </c>
      <c r="I91" s="91">
        <f t="shared" si="19"/>
        <v>0</v>
      </c>
      <c r="K91" s="9"/>
    </row>
    <row r="92" spans="1:11" ht="15.75">
      <c r="A92" s="82" t="s">
        <v>40</v>
      </c>
      <c r="B92" s="39">
        <f>SUM(B65:B91)</f>
        <v>129</v>
      </c>
      <c r="C92" s="39">
        <f>SUM(C65:C91)</f>
        <v>122</v>
      </c>
      <c r="D92" s="39">
        <f>SUM(D65:D91)</f>
        <v>46</v>
      </c>
      <c r="E92" s="39">
        <f>SUM(E65:E91)</f>
        <v>46</v>
      </c>
      <c r="F92" s="91">
        <f t="shared" si="16"/>
        <v>53.75</v>
      </c>
      <c r="G92" s="91">
        <f t="shared" si="17"/>
        <v>56.481481481481474</v>
      </c>
      <c r="H92" s="91">
        <f t="shared" si="18"/>
        <v>46.93877551020408</v>
      </c>
      <c r="I92" s="91">
        <f t="shared" si="19"/>
        <v>47.42268041237113</v>
      </c>
      <c r="K92" s="9"/>
    </row>
    <row r="93" spans="1:11" ht="15.75">
      <c r="A93" s="6"/>
      <c r="B93" s="6"/>
      <c r="C93" s="6"/>
      <c r="E93" s="6"/>
      <c r="I93" s="30"/>
      <c r="K93" s="9"/>
    </row>
    <row r="94" spans="1:11" ht="15.75">
      <c r="A94" s="13"/>
      <c r="B94" s="13"/>
      <c r="C94" s="13"/>
      <c r="D94" s="13"/>
      <c r="E94" s="13"/>
      <c r="K94" s="9"/>
    </row>
    <row r="95" spans="1:11" ht="17.25" customHeight="1" thickBot="1">
      <c r="A95" s="473" t="s">
        <v>76</v>
      </c>
      <c r="B95" s="473"/>
      <c r="C95" s="473"/>
      <c r="D95" s="473"/>
      <c r="E95" s="473"/>
      <c r="F95" s="6"/>
      <c r="G95" s="6"/>
      <c r="H95" s="6"/>
      <c r="I95" s="6"/>
      <c r="K95" s="9"/>
    </row>
    <row r="96" spans="1:11" ht="63.75" thickBot="1">
      <c r="A96" s="65" t="s">
        <v>53</v>
      </c>
      <c r="B96" s="66" t="s">
        <v>45</v>
      </c>
      <c r="C96" s="67" t="s">
        <v>46</v>
      </c>
      <c r="D96" s="67" t="s">
        <v>47</v>
      </c>
      <c r="E96" s="67" t="s">
        <v>48</v>
      </c>
      <c r="F96" s="68" t="s">
        <v>91</v>
      </c>
      <c r="G96" s="68" t="s">
        <v>92</v>
      </c>
      <c r="H96" s="68" t="s">
        <v>93</v>
      </c>
      <c r="I96" s="69" t="s">
        <v>94</v>
      </c>
      <c r="K96" s="9"/>
    </row>
    <row r="97" spans="1:11" ht="31.5">
      <c r="A97" s="51" t="s">
        <v>5</v>
      </c>
      <c r="B97" s="52"/>
      <c r="C97" s="52"/>
      <c r="D97" s="52"/>
      <c r="E97" s="52"/>
      <c r="F97" s="90">
        <f aca="true" t="shared" si="20" ref="F97:F124">+_xlfn.IFERROR(B97/(C4+C35),0)*100</f>
        <v>0</v>
      </c>
      <c r="G97" s="90">
        <f aca="true" t="shared" si="21" ref="G97:G124">+_xlfn.IFERROR(C97/(D4+D35),0)*100</f>
        <v>0</v>
      </c>
      <c r="H97" s="90">
        <f aca="true" t="shared" si="22" ref="H97:H124">+_xlfn.IFERROR(D97/(E4+E35),0)*100</f>
        <v>0</v>
      </c>
      <c r="I97" s="90">
        <f aca="true" t="shared" si="23" ref="I97:I124">+_xlfn.IFERROR(E97/(F4+F35),0)*100</f>
        <v>0</v>
      </c>
      <c r="K97" s="9"/>
    </row>
    <row r="98" spans="1:11" ht="15.75">
      <c r="A98" s="15" t="s">
        <v>6</v>
      </c>
      <c r="B98" s="3"/>
      <c r="C98" s="3"/>
      <c r="D98" s="3"/>
      <c r="E98" s="3"/>
      <c r="F98" s="91">
        <f t="shared" si="20"/>
        <v>0</v>
      </c>
      <c r="G98" s="91">
        <f t="shared" si="21"/>
        <v>0</v>
      </c>
      <c r="H98" s="91">
        <f t="shared" si="22"/>
        <v>0</v>
      </c>
      <c r="I98" s="91">
        <f t="shared" si="23"/>
        <v>0</v>
      </c>
      <c r="K98" s="9"/>
    </row>
    <row r="99" spans="1:11" ht="15.75">
      <c r="A99" s="15" t="s">
        <v>7</v>
      </c>
      <c r="B99" s="3"/>
      <c r="C99" s="3"/>
      <c r="D99" s="3"/>
      <c r="E99" s="3"/>
      <c r="F99" s="91">
        <f t="shared" si="20"/>
        <v>0</v>
      </c>
      <c r="G99" s="91">
        <f t="shared" si="21"/>
        <v>0</v>
      </c>
      <c r="H99" s="91">
        <f t="shared" si="22"/>
        <v>0</v>
      </c>
      <c r="I99" s="91">
        <f t="shared" si="23"/>
        <v>0</v>
      </c>
      <c r="K99" s="9"/>
    </row>
    <row r="100" spans="1:11" ht="31.5">
      <c r="A100" s="15" t="s">
        <v>8</v>
      </c>
      <c r="B100" s="3">
        <v>1</v>
      </c>
      <c r="C100" s="3">
        <v>1</v>
      </c>
      <c r="D100" s="3">
        <v>1</v>
      </c>
      <c r="E100" s="3">
        <v>1</v>
      </c>
      <c r="F100" s="91">
        <f t="shared" si="20"/>
        <v>3.4482758620689653</v>
      </c>
      <c r="G100" s="91">
        <f t="shared" si="21"/>
        <v>3.7037037037037033</v>
      </c>
      <c r="H100" s="91">
        <f t="shared" si="22"/>
        <v>9.090909090909092</v>
      </c>
      <c r="I100" s="91">
        <f t="shared" si="23"/>
        <v>9.090909090909092</v>
      </c>
      <c r="K100" s="9"/>
    </row>
    <row r="101" spans="1:11" ht="15.75">
      <c r="A101" s="15" t="s">
        <v>9</v>
      </c>
      <c r="B101" s="3"/>
      <c r="C101" s="3"/>
      <c r="D101" s="3"/>
      <c r="E101" s="3"/>
      <c r="F101" s="91">
        <f t="shared" si="20"/>
        <v>0</v>
      </c>
      <c r="G101" s="91">
        <f t="shared" si="21"/>
        <v>0</v>
      </c>
      <c r="H101" s="91">
        <f t="shared" si="22"/>
        <v>0</v>
      </c>
      <c r="I101" s="91">
        <f t="shared" si="23"/>
        <v>0</v>
      </c>
      <c r="K101" s="9"/>
    </row>
    <row r="102" spans="1:11" ht="15.75">
      <c r="A102" s="15" t="s">
        <v>10</v>
      </c>
      <c r="B102" s="3"/>
      <c r="C102" s="3"/>
      <c r="D102" s="3"/>
      <c r="E102" s="3"/>
      <c r="F102" s="91">
        <f t="shared" si="20"/>
        <v>0</v>
      </c>
      <c r="G102" s="91">
        <f t="shared" si="21"/>
        <v>0</v>
      </c>
      <c r="H102" s="91">
        <f t="shared" si="22"/>
        <v>0</v>
      </c>
      <c r="I102" s="91">
        <f t="shared" si="23"/>
        <v>0</v>
      </c>
      <c r="K102" s="9"/>
    </row>
    <row r="103" spans="1:11" ht="15.75">
      <c r="A103" s="15" t="s">
        <v>11</v>
      </c>
      <c r="B103" s="3"/>
      <c r="C103" s="3"/>
      <c r="D103" s="3"/>
      <c r="E103" s="3"/>
      <c r="F103" s="91">
        <f t="shared" si="20"/>
        <v>0</v>
      </c>
      <c r="G103" s="91">
        <f t="shared" si="21"/>
        <v>0</v>
      </c>
      <c r="H103" s="91">
        <f t="shared" si="22"/>
        <v>0</v>
      </c>
      <c r="I103" s="91">
        <f t="shared" si="23"/>
        <v>0</v>
      </c>
      <c r="K103" s="9"/>
    </row>
    <row r="104" spans="1:11" ht="15.75">
      <c r="A104" s="15" t="s">
        <v>12</v>
      </c>
      <c r="B104" s="3"/>
      <c r="C104" s="3"/>
      <c r="D104" s="3"/>
      <c r="E104" s="3"/>
      <c r="F104" s="91">
        <f t="shared" si="20"/>
        <v>0</v>
      </c>
      <c r="G104" s="91">
        <f t="shared" si="21"/>
        <v>0</v>
      </c>
      <c r="H104" s="91">
        <f t="shared" si="22"/>
        <v>0</v>
      </c>
      <c r="I104" s="91">
        <f t="shared" si="23"/>
        <v>0</v>
      </c>
      <c r="K104" s="9"/>
    </row>
    <row r="105" spans="1:11" ht="15.75">
      <c r="A105" s="15" t="s">
        <v>13</v>
      </c>
      <c r="B105" s="3"/>
      <c r="C105" s="3"/>
      <c r="D105" s="3"/>
      <c r="E105" s="3"/>
      <c r="F105" s="91">
        <f t="shared" si="20"/>
        <v>0</v>
      </c>
      <c r="G105" s="91">
        <f t="shared" si="21"/>
        <v>0</v>
      </c>
      <c r="H105" s="91">
        <f t="shared" si="22"/>
        <v>0</v>
      </c>
      <c r="I105" s="91">
        <f t="shared" si="23"/>
        <v>0</v>
      </c>
      <c r="K105" s="9"/>
    </row>
    <row r="106" spans="1:11" ht="31.5">
      <c r="A106" s="15" t="s">
        <v>14</v>
      </c>
      <c r="B106" s="3"/>
      <c r="C106" s="3"/>
      <c r="D106" s="3"/>
      <c r="E106" s="3"/>
      <c r="F106" s="91">
        <f t="shared" si="20"/>
        <v>0</v>
      </c>
      <c r="G106" s="91">
        <f t="shared" si="21"/>
        <v>0</v>
      </c>
      <c r="H106" s="91">
        <f t="shared" si="22"/>
        <v>0</v>
      </c>
      <c r="I106" s="91">
        <f t="shared" si="23"/>
        <v>0</v>
      </c>
      <c r="K106" s="9"/>
    </row>
    <row r="107" spans="1:11" ht="15.75">
      <c r="A107" s="15" t="s">
        <v>15</v>
      </c>
      <c r="B107" s="3"/>
      <c r="C107" s="3"/>
      <c r="D107" s="3"/>
      <c r="E107" s="3"/>
      <c r="F107" s="91">
        <f t="shared" si="20"/>
        <v>0</v>
      </c>
      <c r="G107" s="91">
        <f t="shared" si="21"/>
        <v>0</v>
      </c>
      <c r="H107" s="91">
        <f t="shared" si="22"/>
        <v>0</v>
      </c>
      <c r="I107" s="91">
        <f t="shared" si="23"/>
        <v>0</v>
      </c>
      <c r="K107" s="9"/>
    </row>
    <row r="108" spans="1:11" ht="47.25">
      <c r="A108" s="15" t="s">
        <v>16</v>
      </c>
      <c r="B108" s="3"/>
      <c r="C108" s="3"/>
      <c r="D108" s="3"/>
      <c r="E108" s="3"/>
      <c r="F108" s="91">
        <f t="shared" si="20"/>
        <v>0</v>
      </c>
      <c r="G108" s="91">
        <f t="shared" si="21"/>
        <v>0</v>
      </c>
      <c r="H108" s="91">
        <f t="shared" si="22"/>
        <v>0</v>
      </c>
      <c r="I108" s="91">
        <f t="shared" si="23"/>
        <v>0</v>
      </c>
      <c r="K108" s="9"/>
    </row>
    <row r="109" spans="1:11" ht="15.75">
      <c r="A109" s="15" t="s">
        <v>17</v>
      </c>
      <c r="B109" s="3"/>
      <c r="C109" s="3"/>
      <c r="D109" s="3"/>
      <c r="E109" s="3"/>
      <c r="F109" s="91">
        <f t="shared" si="20"/>
        <v>0</v>
      </c>
      <c r="G109" s="91">
        <f t="shared" si="21"/>
        <v>0</v>
      </c>
      <c r="H109" s="91">
        <f t="shared" si="22"/>
        <v>0</v>
      </c>
      <c r="I109" s="91">
        <f t="shared" si="23"/>
        <v>0</v>
      </c>
      <c r="K109" s="9"/>
    </row>
    <row r="110" spans="1:11" ht="15.75">
      <c r="A110" s="15" t="s">
        <v>18</v>
      </c>
      <c r="B110" s="3"/>
      <c r="C110" s="3"/>
      <c r="D110" s="3"/>
      <c r="E110" s="3"/>
      <c r="F110" s="91">
        <f t="shared" si="20"/>
        <v>0</v>
      </c>
      <c r="G110" s="91">
        <f t="shared" si="21"/>
        <v>0</v>
      </c>
      <c r="H110" s="91">
        <f t="shared" si="22"/>
        <v>0</v>
      </c>
      <c r="I110" s="91">
        <f t="shared" si="23"/>
        <v>0</v>
      </c>
      <c r="K110" s="9"/>
    </row>
    <row r="111" spans="1:11" ht="15.75">
      <c r="A111" s="15" t="s">
        <v>19</v>
      </c>
      <c r="B111" s="3"/>
      <c r="C111" s="3"/>
      <c r="D111" s="3"/>
      <c r="E111" s="3"/>
      <c r="F111" s="91">
        <f t="shared" si="20"/>
        <v>0</v>
      </c>
      <c r="G111" s="91">
        <f t="shared" si="21"/>
        <v>0</v>
      </c>
      <c r="H111" s="91">
        <f t="shared" si="22"/>
        <v>0</v>
      </c>
      <c r="I111" s="91">
        <f t="shared" si="23"/>
        <v>0</v>
      </c>
      <c r="K111" s="9"/>
    </row>
    <row r="112" spans="1:11" ht="15.75">
      <c r="A112" s="15" t="s">
        <v>20</v>
      </c>
      <c r="B112" s="3"/>
      <c r="C112" s="3"/>
      <c r="D112" s="3"/>
      <c r="E112" s="3"/>
      <c r="F112" s="91">
        <f t="shared" si="20"/>
        <v>0</v>
      </c>
      <c r="G112" s="91">
        <f t="shared" si="21"/>
        <v>0</v>
      </c>
      <c r="H112" s="91">
        <f t="shared" si="22"/>
        <v>0</v>
      </c>
      <c r="I112" s="91">
        <f t="shared" si="23"/>
        <v>0</v>
      </c>
      <c r="K112" s="9"/>
    </row>
    <row r="113" spans="1:11" ht="15.75">
      <c r="A113" s="15" t="s">
        <v>21</v>
      </c>
      <c r="B113" s="3"/>
      <c r="C113" s="3"/>
      <c r="D113" s="3"/>
      <c r="E113" s="3"/>
      <c r="F113" s="91">
        <f t="shared" si="20"/>
        <v>0</v>
      </c>
      <c r="G113" s="91">
        <f t="shared" si="21"/>
        <v>0</v>
      </c>
      <c r="H113" s="91">
        <f t="shared" si="22"/>
        <v>0</v>
      </c>
      <c r="I113" s="91">
        <f t="shared" si="23"/>
        <v>0</v>
      </c>
      <c r="K113" s="9"/>
    </row>
    <row r="114" spans="1:11" ht="15.75">
      <c r="A114" s="15" t="s">
        <v>22</v>
      </c>
      <c r="B114" s="3"/>
      <c r="C114" s="3"/>
      <c r="D114" s="3"/>
      <c r="E114" s="3"/>
      <c r="F114" s="91">
        <f t="shared" si="20"/>
        <v>0</v>
      </c>
      <c r="G114" s="91">
        <f t="shared" si="21"/>
        <v>0</v>
      </c>
      <c r="H114" s="91">
        <f t="shared" si="22"/>
        <v>0</v>
      </c>
      <c r="I114" s="91">
        <f t="shared" si="23"/>
        <v>0</v>
      </c>
      <c r="K114" s="9"/>
    </row>
    <row r="115" spans="1:11" ht="15.75">
      <c r="A115" s="15" t="s">
        <v>23</v>
      </c>
      <c r="B115" s="3"/>
      <c r="C115" s="3"/>
      <c r="D115" s="3"/>
      <c r="E115" s="3"/>
      <c r="F115" s="91">
        <f t="shared" si="20"/>
        <v>0</v>
      </c>
      <c r="G115" s="91">
        <f t="shared" si="21"/>
        <v>0</v>
      </c>
      <c r="H115" s="91">
        <f t="shared" si="22"/>
        <v>0</v>
      </c>
      <c r="I115" s="91">
        <f t="shared" si="23"/>
        <v>0</v>
      </c>
      <c r="K115" s="9"/>
    </row>
    <row r="116" spans="1:11" ht="15.75">
      <c r="A116" s="15" t="s">
        <v>24</v>
      </c>
      <c r="B116" s="3"/>
      <c r="C116" s="3"/>
      <c r="D116" s="3"/>
      <c r="E116" s="3"/>
      <c r="F116" s="91">
        <f t="shared" si="20"/>
        <v>0</v>
      </c>
      <c r="G116" s="91">
        <f t="shared" si="21"/>
        <v>0</v>
      </c>
      <c r="H116" s="91">
        <f t="shared" si="22"/>
        <v>0</v>
      </c>
      <c r="I116" s="91">
        <f t="shared" si="23"/>
        <v>0</v>
      </c>
      <c r="K116" s="9"/>
    </row>
    <row r="117" spans="1:11" ht="15.75">
      <c r="A117" s="15" t="s">
        <v>25</v>
      </c>
      <c r="B117" s="3"/>
      <c r="C117" s="3"/>
      <c r="D117" s="3"/>
      <c r="E117" s="3"/>
      <c r="F117" s="91">
        <f t="shared" si="20"/>
        <v>0</v>
      </c>
      <c r="G117" s="91">
        <f t="shared" si="21"/>
        <v>0</v>
      </c>
      <c r="H117" s="91">
        <f t="shared" si="22"/>
        <v>0</v>
      </c>
      <c r="I117" s="91">
        <f t="shared" si="23"/>
        <v>0</v>
      </c>
      <c r="K117" s="9"/>
    </row>
    <row r="118" spans="1:11" ht="15.75">
      <c r="A118" s="15" t="s">
        <v>26</v>
      </c>
      <c r="B118" s="3"/>
      <c r="C118" s="3"/>
      <c r="D118" s="3"/>
      <c r="E118" s="3"/>
      <c r="F118" s="91">
        <f t="shared" si="20"/>
        <v>0</v>
      </c>
      <c r="G118" s="91">
        <f t="shared" si="21"/>
        <v>0</v>
      </c>
      <c r="H118" s="91">
        <f t="shared" si="22"/>
        <v>0</v>
      </c>
      <c r="I118" s="91">
        <f t="shared" si="23"/>
        <v>0</v>
      </c>
      <c r="K118" s="9"/>
    </row>
    <row r="119" spans="1:11" ht="15.75">
      <c r="A119" s="15" t="s">
        <v>27</v>
      </c>
      <c r="B119" s="3"/>
      <c r="C119" s="3"/>
      <c r="D119" s="3"/>
      <c r="E119" s="3"/>
      <c r="F119" s="91">
        <f t="shared" si="20"/>
        <v>0</v>
      </c>
      <c r="G119" s="91">
        <f t="shared" si="21"/>
        <v>0</v>
      </c>
      <c r="H119" s="91">
        <f t="shared" si="22"/>
        <v>0</v>
      </c>
      <c r="I119" s="91">
        <f t="shared" si="23"/>
        <v>0</v>
      </c>
      <c r="K119" s="9"/>
    </row>
    <row r="120" spans="1:11" ht="15.75">
      <c r="A120" s="15" t="s">
        <v>28</v>
      </c>
      <c r="B120" s="3"/>
      <c r="C120" s="3"/>
      <c r="D120" s="3"/>
      <c r="E120" s="3"/>
      <c r="F120" s="91">
        <f t="shared" si="20"/>
        <v>0</v>
      </c>
      <c r="G120" s="91">
        <f t="shared" si="21"/>
        <v>0</v>
      </c>
      <c r="H120" s="91">
        <f t="shared" si="22"/>
        <v>0</v>
      </c>
      <c r="I120" s="91">
        <f t="shared" si="23"/>
        <v>0</v>
      </c>
      <c r="K120" s="9"/>
    </row>
    <row r="121" spans="1:11" ht="15.75">
      <c r="A121" s="15" t="s">
        <v>29</v>
      </c>
      <c r="B121" s="3"/>
      <c r="C121" s="3"/>
      <c r="D121" s="3"/>
      <c r="E121" s="3"/>
      <c r="F121" s="91">
        <f t="shared" si="20"/>
        <v>0</v>
      </c>
      <c r="G121" s="91">
        <f t="shared" si="21"/>
        <v>0</v>
      </c>
      <c r="H121" s="91">
        <f t="shared" si="22"/>
        <v>0</v>
      </c>
      <c r="I121" s="91">
        <f t="shared" si="23"/>
        <v>0</v>
      </c>
      <c r="K121" s="9"/>
    </row>
    <row r="122" spans="1:11" ht="15.75">
      <c r="A122" s="15" t="s">
        <v>30</v>
      </c>
      <c r="B122" s="3"/>
      <c r="C122" s="3"/>
      <c r="D122" s="3"/>
      <c r="E122" s="3"/>
      <c r="F122" s="91">
        <f t="shared" si="20"/>
        <v>0</v>
      </c>
      <c r="G122" s="91">
        <f t="shared" si="21"/>
        <v>0</v>
      </c>
      <c r="H122" s="91">
        <f t="shared" si="22"/>
        <v>0</v>
      </c>
      <c r="I122" s="91">
        <f t="shared" si="23"/>
        <v>0</v>
      </c>
      <c r="K122" s="9"/>
    </row>
    <row r="123" spans="1:11" ht="31.5">
      <c r="A123" s="22" t="s">
        <v>31</v>
      </c>
      <c r="B123" s="3"/>
      <c r="C123" s="3"/>
      <c r="D123" s="3"/>
      <c r="E123" s="3"/>
      <c r="F123" s="91">
        <f t="shared" si="20"/>
        <v>0</v>
      </c>
      <c r="G123" s="91">
        <f t="shared" si="21"/>
        <v>0</v>
      </c>
      <c r="H123" s="91">
        <f t="shared" si="22"/>
        <v>0</v>
      </c>
      <c r="I123" s="91">
        <f t="shared" si="23"/>
        <v>0</v>
      </c>
      <c r="K123" s="9"/>
    </row>
    <row r="124" spans="1:11" ht="15.75">
      <c r="A124" s="82" t="s">
        <v>40</v>
      </c>
      <c r="B124" s="39">
        <f>SUM(B97:B123)</f>
        <v>1</v>
      </c>
      <c r="C124" s="39">
        <f>SUM(C97:C123)</f>
        <v>1</v>
      </c>
      <c r="D124" s="39">
        <f>SUM(D97:D123)</f>
        <v>1</v>
      </c>
      <c r="E124" s="39">
        <f>SUM(E97:E123)</f>
        <v>1</v>
      </c>
      <c r="F124" s="91">
        <f t="shared" si="20"/>
        <v>0.4166666666666667</v>
      </c>
      <c r="G124" s="91">
        <f t="shared" si="21"/>
        <v>0.4629629629629629</v>
      </c>
      <c r="H124" s="91">
        <f t="shared" si="22"/>
        <v>1.0204081632653061</v>
      </c>
      <c r="I124" s="91">
        <f t="shared" si="23"/>
        <v>1.0309278350515463</v>
      </c>
      <c r="K124" s="9"/>
    </row>
    <row r="125" spans="1:11" ht="15.75">
      <c r="A125" s="9"/>
      <c r="B125" s="9"/>
      <c r="C125" s="9"/>
      <c r="D125" s="9"/>
      <c r="F125" s="9"/>
      <c r="G125" s="9"/>
      <c r="H125" s="9"/>
      <c r="I125" s="9"/>
      <c r="J125" s="9"/>
      <c r="K125" s="9"/>
    </row>
    <row r="126" spans="1:11" ht="15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5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1:11" ht="15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1:11" ht="15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</row>
    <row r="130" spans="1:11" ht="15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</row>
    <row r="131" spans="1:11" ht="15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</row>
    <row r="132" spans="1:11" ht="15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</row>
    <row r="133" spans="1:11" ht="15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</row>
    <row r="134" spans="1:11" ht="15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</row>
    <row r="135" spans="1:11" ht="15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</row>
    <row r="136" spans="1:11" ht="15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</row>
    <row r="137" spans="1:11" ht="15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5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1:11" ht="15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</row>
    <row r="140" spans="1:11" ht="15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</row>
    <row r="141" spans="1:11" ht="15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</row>
    <row r="142" spans="1:11" ht="15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1:11" ht="15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</row>
    <row r="144" spans="1:11" ht="15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</row>
    <row r="145" spans="1:11" ht="15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</row>
    <row r="146" spans="1:11" ht="15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</row>
    <row r="147" spans="1:11" ht="15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</row>
    <row r="148" spans="1:11" ht="15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</row>
    <row r="149" spans="1:11" ht="15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</row>
    <row r="150" spans="1:11" ht="15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</row>
    <row r="151" spans="1:11" ht="15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</row>
    <row r="152" spans="1:11" ht="15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</row>
    <row r="153" spans="1:11" ht="15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</row>
    <row r="154" spans="1:11" ht="15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</row>
    <row r="155" spans="1:11" ht="15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</row>
    <row r="156" spans="1:11" ht="15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</row>
    <row r="157" spans="1:11" ht="15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</row>
    <row r="158" spans="1:11" ht="15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</row>
    <row r="159" spans="1:11" ht="15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</row>
    <row r="160" spans="1:11" ht="15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</row>
    <row r="161" spans="1:11" ht="15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</row>
    <row r="162" spans="1:11" ht="15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</row>
    <row r="163" spans="1:11" ht="15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</row>
    <row r="164" spans="1:11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</row>
    <row r="165" spans="1:11" ht="15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</row>
    <row r="166" spans="1:11" ht="15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</row>
    <row r="167" spans="1:11" ht="15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</row>
    <row r="168" spans="1:11" ht="15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</row>
    <row r="169" spans="1:11" ht="15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</row>
    <row r="170" spans="1:11" ht="15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</row>
    <row r="171" spans="1:11" ht="15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</row>
    <row r="172" spans="1:11" ht="15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</row>
    <row r="173" spans="1:11" ht="15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</row>
    <row r="174" spans="1:11" ht="15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</row>
    <row r="175" spans="1:11" ht="15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</row>
    <row r="176" spans="1:11" ht="15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</row>
    <row r="177" spans="1:11" ht="15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</row>
    <row r="178" spans="1:11" ht="15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</row>
    <row r="179" spans="1:11" ht="15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</row>
    <row r="180" spans="1:11" ht="15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</row>
    <row r="181" spans="1:11" ht="15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</row>
    <row r="182" spans="1:11" ht="15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</row>
    <row r="183" spans="1:11" ht="15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</row>
    <row r="184" spans="1:11" ht="15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</row>
    <row r="185" spans="1:11" ht="15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</row>
    <row r="186" spans="1:11" ht="15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</row>
    <row r="187" spans="1:11" ht="15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</row>
    <row r="188" spans="1:11" ht="15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</row>
    <row r="189" spans="1:11" ht="15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</row>
    <row r="190" spans="1:11" ht="15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</row>
    <row r="191" spans="1:11" ht="15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</row>
    <row r="192" spans="1:11" ht="15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</row>
    <row r="193" spans="1:11" ht="15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</row>
    <row r="194" spans="1:11" ht="15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</row>
    <row r="195" spans="1:11" ht="15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</row>
    <row r="196" spans="1:11" ht="15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</row>
    <row r="197" spans="1:11" ht="15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</row>
    <row r="198" spans="1:11" ht="15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</row>
    <row r="199" spans="1:11" ht="15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</row>
    <row r="200" spans="1:11" ht="15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</row>
    <row r="201" spans="1:11" ht="15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</row>
    <row r="202" spans="1:11" ht="15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</row>
    <row r="203" spans="1:11" ht="15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</row>
    <row r="204" spans="1:11" ht="15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</row>
    <row r="205" spans="1:11" ht="15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</row>
    <row r="206" spans="1:11" ht="15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</row>
    <row r="207" spans="1:11" ht="15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</row>
    <row r="208" spans="1:11" ht="15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</row>
    <row r="209" spans="1:11" ht="15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</row>
    <row r="210" spans="1:11" ht="15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</row>
    <row r="211" spans="1:11" ht="15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</row>
    <row r="212" spans="1:11" ht="15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</row>
    <row r="213" spans="1:11" ht="15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</row>
    <row r="214" spans="1:11" ht="15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</row>
    <row r="215" spans="1:11" ht="15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</row>
    <row r="216" spans="1:11" ht="15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</row>
  </sheetData>
  <sheetProtection/>
  <mergeCells count="5">
    <mergeCell ref="A95:E95"/>
    <mergeCell ref="A1:K1"/>
    <mergeCell ref="A33:J33"/>
    <mergeCell ref="A63:E63"/>
    <mergeCell ref="A2:J2"/>
  </mergeCells>
  <printOptions/>
  <pageMargins left="0.75" right="0.75" top="1" bottom="1" header="0.4921259845" footer="0.4921259845"/>
  <pageSetup horizontalDpi="600" verticalDpi="600" orientation="landscape" paperSize="9" scale="68" r:id="rId1"/>
  <rowBreaks count="3" manualBreakCount="3">
    <brk id="32" max="9" man="1"/>
    <brk id="62" max="9" man="1"/>
    <brk id="93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00" zoomScalePageLayoutView="0" workbookViewId="0" topLeftCell="A1">
      <selection activeCell="A1" sqref="A1:J1"/>
    </sheetView>
  </sheetViews>
  <sheetFormatPr defaultColWidth="9.00390625" defaultRowHeight="15.75"/>
  <cols>
    <col min="1" max="1" width="15.875" style="0" bestFit="1" customWidth="1"/>
    <col min="2" max="2" width="9.125" style="0" customWidth="1"/>
    <col min="3" max="5" width="12.625" style="0" customWidth="1"/>
    <col min="6" max="6" width="9.50390625" style="0" customWidth="1"/>
    <col min="7" max="7" width="12.625" style="0" customWidth="1"/>
    <col min="8" max="8" width="10.875" style="0" customWidth="1"/>
  </cols>
  <sheetData>
    <row r="1" spans="1:10" ht="20.25" customHeight="1" thickBot="1">
      <c r="A1" s="471" t="s">
        <v>195</v>
      </c>
      <c r="B1" s="486"/>
      <c r="C1" s="486"/>
      <c r="D1" s="486"/>
      <c r="E1" s="486"/>
      <c r="F1" s="486"/>
      <c r="G1" s="486"/>
      <c r="H1" s="486"/>
      <c r="I1" s="486"/>
      <c r="J1" s="486"/>
    </row>
    <row r="2" spans="1:10" ht="15.75" customHeight="1">
      <c r="A2" s="483" t="s">
        <v>54</v>
      </c>
      <c r="B2" s="481" t="s">
        <v>55</v>
      </c>
      <c r="C2" s="482"/>
      <c r="D2" s="36"/>
      <c r="E2" s="72"/>
      <c r="F2" s="72"/>
      <c r="G2" s="481" t="s">
        <v>56</v>
      </c>
      <c r="H2" s="487"/>
      <c r="I2" s="459" t="s">
        <v>57</v>
      </c>
      <c r="J2" s="489" t="s">
        <v>58</v>
      </c>
    </row>
    <row r="3" spans="1:10" ht="15.75" customHeight="1">
      <c r="A3" s="484"/>
      <c r="B3" s="41"/>
      <c r="C3" s="42"/>
      <c r="D3" s="32" t="s">
        <v>79</v>
      </c>
      <c r="E3" s="32"/>
      <c r="F3" s="32"/>
      <c r="G3" s="41"/>
      <c r="H3" s="44"/>
      <c r="I3" s="465"/>
      <c r="J3" s="490"/>
    </row>
    <row r="4" spans="1:10" s="4" customFormat="1" ht="94.5">
      <c r="A4" s="485"/>
      <c r="B4" s="100" t="s">
        <v>2</v>
      </c>
      <c r="C4" s="100" t="s">
        <v>78</v>
      </c>
      <c r="D4" s="100" t="s">
        <v>71</v>
      </c>
      <c r="E4" s="100" t="s">
        <v>72</v>
      </c>
      <c r="F4" s="100" t="s">
        <v>70</v>
      </c>
      <c r="G4" s="100" t="s">
        <v>68</v>
      </c>
      <c r="H4" s="100" t="s">
        <v>69</v>
      </c>
      <c r="I4" s="488"/>
      <c r="J4" s="491"/>
    </row>
    <row r="5" spans="1:10" ht="15.75">
      <c r="A5" s="101" t="s">
        <v>38</v>
      </c>
      <c r="B5" s="2">
        <v>1</v>
      </c>
      <c r="C5" s="3">
        <v>279</v>
      </c>
      <c r="D5" s="3">
        <v>34</v>
      </c>
      <c r="E5" s="3">
        <v>243</v>
      </c>
      <c r="F5" s="3">
        <v>0</v>
      </c>
      <c r="G5" s="3">
        <v>5</v>
      </c>
      <c r="H5" s="3">
        <v>15</v>
      </c>
      <c r="I5" s="3">
        <v>43</v>
      </c>
      <c r="J5" s="3">
        <v>18</v>
      </c>
    </row>
    <row r="6" spans="1:10" ht="15.75">
      <c r="A6" s="98"/>
      <c r="B6" s="2">
        <v>2</v>
      </c>
      <c r="C6" s="3">
        <v>81</v>
      </c>
      <c r="D6" s="3">
        <v>0</v>
      </c>
      <c r="E6" s="3">
        <v>76</v>
      </c>
      <c r="F6" s="3">
        <v>0</v>
      </c>
      <c r="G6" s="3">
        <v>0</v>
      </c>
      <c r="H6" s="3">
        <v>9</v>
      </c>
      <c r="I6" s="3">
        <v>28</v>
      </c>
      <c r="J6" s="3">
        <v>8</v>
      </c>
    </row>
    <row r="7" spans="1:10" ht="15.75">
      <c r="A7" s="98"/>
      <c r="B7" s="2" t="s">
        <v>3</v>
      </c>
      <c r="C7" s="3">
        <v>1</v>
      </c>
      <c r="D7" s="3">
        <v>0</v>
      </c>
      <c r="E7" s="3">
        <v>1</v>
      </c>
      <c r="F7" s="3">
        <v>0</v>
      </c>
      <c r="G7" s="3">
        <v>0</v>
      </c>
      <c r="H7" s="3">
        <v>1</v>
      </c>
      <c r="I7" s="3">
        <v>1</v>
      </c>
      <c r="J7" s="3">
        <v>0</v>
      </c>
    </row>
    <row r="8" spans="1:10" ht="15.75">
      <c r="A8" s="98"/>
      <c r="B8" s="2">
        <v>3</v>
      </c>
      <c r="C8" s="3">
        <v>13</v>
      </c>
      <c r="D8" s="3">
        <v>111</v>
      </c>
      <c r="E8" s="3">
        <v>15</v>
      </c>
      <c r="F8" s="3">
        <v>5</v>
      </c>
      <c r="G8" s="3">
        <v>5</v>
      </c>
      <c r="H8" s="3">
        <v>2</v>
      </c>
      <c r="I8" s="3">
        <v>3</v>
      </c>
      <c r="J8" s="3">
        <v>10</v>
      </c>
    </row>
    <row r="9" spans="1:10" ht="15.75">
      <c r="A9" s="49" t="s">
        <v>107</v>
      </c>
      <c r="B9" s="82"/>
      <c r="C9" s="39">
        <f>+SUM(C5:C8)</f>
        <v>374</v>
      </c>
      <c r="D9" s="39">
        <f aca="true" t="shared" si="0" ref="D9:J9">+SUM(D5:D8)</f>
        <v>145</v>
      </c>
      <c r="E9" s="39">
        <f>SUM(E5:E8)</f>
        <v>335</v>
      </c>
      <c r="F9" s="39">
        <f t="shared" si="0"/>
        <v>5</v>
      </c>
      <c r="G9" s="39">
        <f t="shared" si="0"/>
        <v>10</v>
      </c>
      <c r="H9" s="39">
        <f t="shared" si="0"/>
        <v>27</v>
      </c>
      <c r="I9" s="39">
        <f t="shared" si="0"/>
        <v>75</v>
      </c>
      <c r="J9" s="39">
        <f t="shared" si="0"/>
        <v>36</v>
      </c>
    </row>
    <row r="10" spans="1:10" ht="15.75">
      <c r="A10" s="98" t="s">
        <v>39</v>
      </c>
      <c r="B10" s="2">
        <v>1</v>
      </c>
      <c r="C10" s="3">
        <v>1186</v>
      </c>
      <c r="D10" s="3">
        <v>1131</v>
      </c>
      <c r="E10" s="3">
        <v>53</v>
      </c>
      <c r="F10" s="3">
        <v>2</v>
      </c>
      <c r="G10" s="3">
        <v>6</v>
      </c>
      <c r="H10" s="3">
        <v>11</v>
      </c>
      <c r="I10" s="3">
        <v>23</v>
      </c>
      <c r="J10" s="3">
        <v>19</v>
      </c>
    </row>
    <row r="11" spans="1:10" ht="15.75">
      <c r="A11" s="98"/>
      <c r="B11" s="2">
        <v>2</v>
      </c>
      <c r="C11" s="3">
        <v>730</v>
      </c>
      <c r="D11" s="3">
        <v>701</v>
      </c>
      <c r="E11" s="3">
        <v>25</v>
      </c>
      <c r="F11" s="3">
        <v>4</v>
      </c>
      <c r="G11" s="3">
        <v>1</v>
      </c>
      <c r="H11" s="3">
        <v>5</v>
      </c>
      <c r="I11" s="3">
        <v>10</v>
      </c>
      <c r="J11" s="3">
        <v>8</v>
      </c>
    </row>
    <row r="12" spans="1:10" ht="15.75">
      <c r="A12" s="98"/>
      <c r="B12" s="2" t="s">
        <v>3</v>
      </c>
      <c r="C12" s="3">
        <v>1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</row>
    <row r="13" spans="1:10" ht="15.75">
      <c r="A13" s="98"/>
      <c r="B13" s="2">
        <v>3</v>
      </c>
      <c r="C13" s="3">
        <v>197</v>
      </c>
      <c r="D13" s="3">
        <v>190</v>
      </c>
      <c r="E13" s="3">
        <v>18</v>
      </c>
      <c r="F13" s="3">
        <v>25</v>
      </c>
      <c r="G13" s="3">
        <v>0</v>
      </c>
      <c r="H13" s="3">
        <v>1</v>
      </c>
      <c r="I13" s="3">
        <v>5</v>
      </c>
      <c r="J13" s="3">
        <v>1</v>
      </c>
    </row>
    <row r="14" spans="1:10" ht="15.75">
      <c r="A14" s="92" t="s">
        <v>108</v>
      </c>
      <c r="B14" s="93"/>
      <c r="C14" s="94">
        <f aca="true" t="shared" si="1" ref="C14:J14">+SUM(C10:C13)</f>
        <v>2114</v>
      </c>
      <c r="D14" s="94">
        <f>+SUM(D10:D13)</f>
        <v>2022</v>
      </c>
      <c r="E14" s="94">
        <f t="shared" si="1"/>
        <v>97</v>
      </c>
      <c r="F14" s="94">
        <f t="shared" si="1"/>
        <v>31</v>
      </c>
      <c r="G14" s="94">
        <f t="shared" si="1"/>
        <v>7</v>
      </c>
      <c r="H14" s="94">
        <f t="shared" si="1"/>
        <v>17</v>
      </c>
      <c r="I14" s="94">
        <f t="shared" si="1"/>
        <v>38</v>
      </c>
      <c r="J14" s="94">
        <f t="shared" si="1"/>
        <v>28</v>
      </c>
    </row>
    <row r="15" spans="1:10" ht="15.75">
      <c r="A15" s="84" t="s">
        <v>109</v>
      </c>
      <c r="B15" s="82">
        <v>1</v>
      </c>
      <c r="C15" s="39">
        <f>SUM(C5,C10)</f>
        <v>1465</v>
      </c>
      <c r="D15" s="39">
        <f>SUM(D5,D10)</f>
        <v>1165</v>
      </c>
      <c r="E15" s="39">
        <f>SUM(E5,E10)</f>
        <v>296</v>
      </c>
      <c r="F15" s="39">
        <f>+F5+F10</f>
        <v>2</v>
      </c>
      <c r="G15" s="39">
        <f>SUM(G5,G10)</f>
        <v>11</v>
      </c>
      <c r="H15" s="39">
        <f>+H5+H10</f>
        <v>26</v>
      </c>
      <c r="I15" s="39">
        <f>+I5+I10</f>
        <v>66</v>
      </c>
      <c r="J15" s="39">
        <f>+J5+J10</f>
        <v>37</v>
      </c>
    </row>
    <row r="16" spans="1:10" ht="15.75">
      <c r="A16" s="85"/>
      <c r="B16" s="82">
        <v>2</v>
      </c>
      <c r="C16" s="39">
        <f>+C6+C11</f>
        <v>811</v>
      </c>
      <c r="D16" s="39">
        <f>+D6+D11</f>
        <v>701</v>
      </c>
      <c r="E16" s="39">
        <f aca="true" t="shared" si="2" ref="E16:J16">+E6+E11</f>
        <v>101</v>
      </c>
      <c r="F16" s="39">
        <f t="shared" si="2"/>
        <v>4</v>
      </c>
      <c r="G16" s="39">
        <f t="shared" si="2"/>
        <v>1</v>
      </c>
      <c r="H16" s="39">
        <f t="shared" si="2"/>
        <v>14</v>
      </c>
      <c r="I16" s="39">
        <f t="shared" si="2"/>
        <v>38</v>
      </c>
      <c r="J16" s="39">
        <f t="shared" si="2"/>
        <v>16</v>
      </c>
    </row>
    <row r="17" spans="1:10" ht="15.75">
      <c r="A17" s="85"/>
      <c r="B17" s="82" t="s">
        <v>3</v>
      </c>
      <c r="C17" s="39">
        <f>+C7+C12</f>
        <v>2</v>
      </c>
      <c r="D17" s="39">
        <f>+D7+D12</f>
        <v>0</v>
      </c>
      <c r="E17" s="39">
        <f aca="true" t="shared" si="3" ref="E17:J17">+E7+E12</f>
        <v>2</v>
      </c>
      <c r="F17" s="39">
        <f t="shared" si="3"/>
        <v>0</v>
      </c>
      <c r="G17" s="39">
        <f t="shared" si="3"/>
        <v>0</v>
      </c>
      <c r="H17" s="39">
        <f t="shared" si="3"/>
        <v>1</v>
      </c>
      <c r="I17" s="39">
        <f t="shared" si="3"/>
        <v>1</v>
      </c>
      <c r="J17" s="39">
        <f t="shared" si="3"/>
        <v>0</v>
      </c>
    </row>
    <row r="18" spans="1:10" ht="15.75">
      <c r="A18" s="86"/>
      <c r="B18" s="82">
        <v>3</v>
      </c>
      <c r="C18" s="39">
        <f>+C8+C13</f>
        <v>210</v>
      </c>
      <c r="D18" s="39">
        <f>D8+D13</f>
        <v>301</v>
      </c>
      <c r="E18" s="39">
        <f aca="true" t="shared" si="4" ref="E18:J18">+E8+E13</f>
        <v>33</v>
      </c>
      <c r="F18" s="39">
        <f t="shared" si="4"/>
        <v>30</v>
      </c>
      <c r="G18" s="39">
        <f>SUM(G8,G13)</f>
        <v>5</v>
      </c>
      <c r="H18" s="39">
        <f t="shared" si="4"/>
        <v>3</v>
      </c>
      <c r="I18" s="39">
        <f t="shared" si="4"/>
        <v>8</v>
      </c>
      <c r="J18" s="39">
        <f t="shared" si="4"/>
        <v>11</v>
      </c>
    </row>
    <row r="19" spans="1:10" ht="15.75">
      <c r="A19" s="95" t="s">
        <v>40</v>
      </c>
      <c r="B19" s="82"/>
      <c r="C19" s="39">
        <f>+SUM(C15:C18)</f>
        <v>2488</v>
      </c>
      <c r="D19" s="39">
        <f aca="true" t="shared" si="5" ref="D19:J19">+SUM(D15:D18)</f>
        <v>2167</v>
      </c>
      <c r="E19" s="39">
        <f t="shared" si="5"/>
        <v>432</v>
      </c>
      <c r="F19" s="39">
        <f t="shared" si="5"/>
        <v>36</v>
      </c>
      <c r="G19" s="39">
        <f t="shared" si="5"/>
        <v>17</v>
      </c>
      <c r="H19" s="39">
        <f t="shared" si="5"/>
        <v>44</v>
      </c>
      <c r="I19" s="39">
        <f t="shared" si="5"/>
        <v>113</v>
      </c>
      <c r="J19" s="39">
        <f t="shared" si="5"/>
        <v>64</v>
      </c>
    </row>
    <row r="20" spans="1:10" ht="15.75">
      <c r="A20" s="6"/>
      <c r="B20" s="8"/>
      <c r="C20" s="6"/>
      <c r="D20" s="6"/>
      <c r="E20" s="6"/>
      <c r="F20" s="6"/>
      <c r="G20" s="6"/>
      <c r="H20" s="6"/>
      <c r="I20" s="6"/>
      <c r="J20" s="6"/>
    </row>
    <row r="21" spans="1:8" ht="15.75">
      <c r="A21" s="6"/>
      <c r="B21" s="8"/>
      <c r="C21" s="6"/>
      <c r="D21" s="6"/>
      <c r="E21" s="6"/>
      <c r="F21" s="6"/>
      <c r="G21" s="6"/>
      <c r="H21" s="6"/>
    </row>
    <row r="22" spans="1:8" ht="15.75">
      <c r="A22" s="6"/>
      <c r="B22" s="8"/>
      <c r="C22" s="6"/>
      <c r="D22" s="6"/>
      <c r="E22" s="6"/>
      <c r="F22" s="6"/>
      <c r="G22" s="6"/>
      <c r="H22" s="6"/>
    </row>
  </sheetData>
  <sheetProtection/>
  <mergeCells count="6">
    <mergeCell ref="B2:C2"/>
    <mergeCell ref="A2:A4"/>
    <mergeCell ref="A1:J1"/>
    <mergeCell ref="G2:H2"/>
    <mergeCell ref="I2:I4"/>
    <mergeCell ref="J2:J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1">
      <selection activeCell="A1" sqref="A1:I1"/>
    </sheetView>
  </sheetViews>
  <sheetFormatPr defaultColWidth="9.00390625" defaultRowHeight="15.75"/>
  <cols>
    <col min="1" max="1" width="27.75390625" style="0" customWidth="1"/>
    <col min="2" max="2" width="11.125" style="0" customWidth="1"/>
    <col min="8" max="8" width="9.50390625" style="0" customWidth="1"/>
    <col min="9" max="9" width="7.875" style="0" customWidth="1"/>
  </cols>
  <sheetData>
    <row r="1" spans="1:10" ht="67.5" customHeight="1">
      <c r="A1" s="495" t="s">
        <v>100</v>
      </c>
      <c r="B1" s="495"/>
      <c r="C1" s="495"/>
      <c r="D1" s="495"/>
      <c r="E1" s="495"/>
      <c r="F1" s="495"/>
      <c r="G1" s="495"/>
      <c r="H1" s="495"/>
      <c r="I1" s="495"/>
      <c r="J1" s="37"/>
    </row>
    <row r="2" spans="1:10" s="6" customFormat="1" ht="16.5" thickBot="1">
      <c r="A2" s="43"/>
      <c r="B2" s="73"/>
      <c r="C2" s="492" t="s">
        <v>84</v>
      </c>
      <c r="D2" s="493"/>
      <c r="E2" s="493"/>
      <c r="F2" s="493"/>
      <c r="G2" s="493"/>
      <c r="H2" s="493"/>
      <c r="I2" s="494"/>
      <c r="J2" s="34"/>
    </row>
    <row r="3" spans="1:10" s="6" customFormat="1" ht="55.5" customHeight="1" thickBot="1">
      <c r="A3" s="74" t="s">
        <v>53</v>
      </c>
      <c r="B3" s="54" t="s">
        <v>83</v>
      </c>
      <c r="C3" s="54" t="s">
        <v>54</v>
      </c>
      <c r="D3" s="54" t="s">
        <v>89</v>
      </c>
      <c r="E3" s="54" t="s">
        <v>173</v>
      </c>
      <c r="F3" s="54" t="s">
        <v>88</v>
      </c>
      <c r="G3" s="54" t="s">
        <v>87</v>
      </c>
      <c r="H3" s="54" t="s">
        <v>85</v>
      </c>
      <c r="I3" s="75" t="s">
        <v>86</v>
      </c>
      <c r="J3" s="35"/>
    </row>
    <row r="4" spans="1:10" s="6" customFormat="1" ht="27" customHeight="1">
      <c r="A4" s="110" t="s">
        <v>179</v>
      </c>
      <c r="B4" s="111"/>
      <c r="C4" s="111"/>
      <c r="D4" s="111"/>
      <c r="E4" s="111"/>
      <c r="F4" s="111"/>
      <c r="G4" s="111"/>
      <c r="H4" s="111"/>
      <c r="I4" s="112"/>
      <c r="J4" s="35"/>
    </row>
    <row r="5" spans="1:9" s="6" customFormat="1" ht="15.75">
      <c r="A5" s="116" t="s">
        <v>6</v>
      </c>
      <c r="B5" s="117">
        <v>1</v>
      </c>
      <c r="C5" s="116" t="s">
        <v>181</v>
      </c>
      <c r="D5" s="104"/>
      <c r="E5" s="104">
        <v>0.18</v>
      </c>
      <c r="F5" s="104">
        <v>0.53</v>
      </c>
      <c r="G5" s="105">
        <v>0.59</v>
      </c>
      <c r="H5" s="105">
        <v>0.34</v>
      </c>
      <c r="I5" s="105">
        <v>0.76</v>
      </c>
    </row>
    <row r="6" spans="1:9" s="6" customFormat="1" ht="15.75">
      <c r="A6" s="52" t="s">
        <v>6</v>
      </c>
      <c r="B6" s="10">
        <v>1</v>
      </c>
      <c r="C6" s="12" t="s">
        <v>182</v>
      </c>
      <c r="D6" s="106"/>
      <c r="E6" s="106">
        <v>0.04</v>
      </c>
      <c r="F6" s="106"/>
      <c r="G6" s="106"/>
      <c r="H6" s="106">
        <v>0.89</v>
      </c>
      <c r="I6" s="106">
        <v>0.9</v>
      </c>
    </row>
    <row r="7" spans="1:9" s="6" customFormat="1" ht="15.75">
      <c r="A7" s="3" t="s">
        <v>8</v>
      </c>
      <c r="B7" s="10">
        <v>1</v>
      </c>
      <c r="C7" s="116" t="s">
        <v>181</v>
      </c>
      <c r="D7" s="106"/>
      <c r="E7" s="106"/>
      <c r="F7" s="106">
        <v>0.756</v>
      </c>
      <c r="G7" s="106">
        <v>0.803</v>
      </c>
      <c r="H7" s="106">
        <v>0.896</v>
      </c>
      <c r="I7" s="106">
        <v>0.963</v>
      </c>
    </row>
    <row r="8" spans="1:9" s="6" customFormat="1" ht="15.75">
      <c r="A8" s="52" t="s">
        <v>8</v>
      </c>
      <c r="B8" s="2">
        <v>1</v>
      </c>
      <c r="C8" s="12" t="s">
        <v>182</v>
      </c>
      <c r="D8" s="104"/>
      <c r="E8" s="104"/>
      <c r="F8" s="104">
        <v>0.845</v>
      </c>
      <c r="G8" s="104">
        <v>0.82</v>
      </c>
      <c r="H8" s="104">
        <v>0.865</v>
      </c>
      <c r="I8" s="104">
        <v>0.955</v>
      </c>
    </row>
    <row r="9" spans="1:9" s="6" customFormat="1" ht="15.75">
      <c r="A9" s="52" t="s">
        <v>11</v>
      </c>
      <c r="B9" s="10">
        <v>1</v>
      </c>
      <c r="C9" s="116" t="s">
        <v>181</v>
      </c>
      <c r="D9" s="104"/>
      <c r="E9" s="104"/>
      <c r="F9" s="104">
        <v>0.83</v>
      </c>
      <c r="G9" s="105">
        <v>0.81</v>
      </c>
      <c r="H9" s="105">
        <v>0.87</v>
      </c>
      <c r="I9" s="105">
        <v>0.95</v>
      </c>
    </row>
    <row r="10" spans="1:9" s="6" customFormat="1" ht="15.75">
      <c r="A10" s="52" t="s">
        <v>11</v>
      </c>
      <c r="B10" s="10">
        <v>1</v>
      </c>
      <c r="C10" s="12" t="s">
        <v>182</v>
      </c>
      <c r="D10" s="106"/>
      <c r="E10" s="106"/>
      <c r="F10" s="106">
        <v>0.34</v>
      </c>
      <c r="G10" s="106">
        <v>0.49</v>
      </c>
      <c r="H10" s="106"/>
      <c r="I10" s="106"/>
    </row>
    <row r="11" spans="1:9" s="6" customFormat="1" ht="31.5">
      <c r="A11" s="51" t="s">
        <v>5</v>
      </c>
      <c r="B11" s="10">
        <v>1</v>
      </c>
      <c r="C11" s="116" t="s">
        <v>181</v>
      </c>
      <c r="D11" s="104">
        <v>0.16</v>
      </c>
      <c r="E11" s="104"/>
      <c r="F11" s="104">
        <v>0.36</v>
      </c>
      <c r="G11" s="105">
        <v>0.48</v>
      </c>
      <c r="H11" s="105">
        <v>0.64</v>
      </c>
      <c r="I11" s="105">
        <v>0.78</v>
      </c>
    </row>
    <row r="12" spans="1:9" s="6" customFormat="1" ht="31.5">
      <c r="A12" s="51" t="s">
        <v>5</v>
      </c>
      <c r="B12" s="10">
        <v>1</v>
      </c>
      <c r="C12" s="12" t="s">
        <v>182</v>
      </c>
      <c r="D12" s="106">
        <v>0.01</v>
      </c>
      <c r="E12" s="106">
        <v>0.01</v>
      </c>
      <c r="F12" s="106">
        <v>0.38</v>
      </c>
      <c r="G12" s="106">
        <v>0.73</v>
      </c>
      <c r="H12" s="106">
        <v>0.79</v>
      </c>
      <c r="I12" s="106">
        <v>0.89</v>
      </c>
    </row>
    <row r="13" spans="1:9" s="6" customFormat="1" ht="15.75">
      <c r="A13" s="24" t="s">
        <v>24</v>
      </c>
      <c r="B13" s="10">
        <v>1</v>
      </c>
      <c r="C13" s="116" t="s">
        <v>181</v>
      </c>
      <c r="D13" s="106"/>
      <c r="E13" s="106"/>
      <c r="F13" s="106">
        <v>0.68</v>
      </c>
      <c r="G13" s="106">
        <v>0.8</v>
      </c>
      <c r="H13" s="106">
        <v>0.91</v>
      </c>
      <c r="I13" s="106">
        <v>0.96</v>
      </c>
    </row>
    <row r="14" spans="1:9" s="6" customFormat="1" ht="15.75">
      <c r="A14" s="24" t="s">
        <v>24</v>
      </c>
      <c r="B14" s="10">
        <v>1</v>
      </c>
      <c r="C14" s="12" t="s">
        <v>182</v>
      </c>
      <c r="D14" s="106"/>
      <c r="E14" s="106">
        <v>0.01</v>
      </c>
      <c r="F14" s="106">
        <v>0.76</v>
      </c>
      <c r="G14" s="106">
        <v>0.81</v>
      </c>
      <c r="H14" s="106">
        <v>0.78</v>
      </c>
      <c r="I14" s="106">
        <v>0.97</v>
      </c>
    </row>
    <row r="15" spans="1:9" s="6" customFormat="1" ht="15.75">
      <c r="A15" s="51"/>
      <c r="B15" s="10"/>
      <c r="C15" s="3"/>
      <c r="D15" s="106"/>
      <c r="E15" s="106"/>
      <c r="F15" s="106"/>
      <c r="G15" s="106"/>
      <c r="H15" s="106"/>
      <c r="I15" s="106"/>
    </row>
    <row r="16" spans="1:9" s="6" customFormat="1" ht="15.75">
      <c r="A16" s="52"/>
      <c r="B16" s="2"/>
      <c r="C16" s="3"/>
      <c r="D16" s="106"/>
      <c r="E16" s="106"/>
      <c r="F16" s="106"/>
      <c r="G16" s="106"/>
      <c r="H16" s="106"/>
      <c r="I16" s="106"/>
    </row>
    <row r="17" spans="1:9" s="6" customFormat="1" ht="15.75">
      <c r="A17" s="113" t="s">
        <v>34</v>
      </c>
      <c r="B17" s="2"/>
      <c r="C17" s="3"/>
      <c r="D17" s="106"/>
      <c r="E17" s="106"/>
      <c r="F17" s="106"/>
      <c r="G17" s="106"/>
      <c r="H17" s="106"/>
      <c r="I17" s="106"/>
    </row>
    <row r="18" spans="1:9" s="6" customFormat="1" ht="15.75">
      <c r="A18" s="52" t="s">
        <v>6</v>
      </c>
      <c r="B18" s="2">
        <v>2</v>
      </c>
      <c r="C18" s="12" t="s">
        <v>181</v>
      </c>
      <c r="D18" s="106"/>
      <c r="E18" s="106">
        <v>0.65</v>
      </c>
      <c r="F18" s="106">
        <v>0.855</v>
      </c>
      <c r="G18" s="106">
        <v>0.945</v>
      </c>
      <c r="H18" s="106">
        <v>1</v>
      </c>
      <c r="I18" s="106"/>
    </row>
    <row r="19" spans="1:9" s="6" customFormat="1" ht="15.75">
      <c r="A19" s="52" t="s">
        <v>6</v>
      </c>
      <c r="B19" s="2">
        <v>2</v>
      </c>
      <c r="C19" s="12" t="s">
        <v>182</v>
      </c>
      <c r="D19" s="106"/>
      <c r="E19" s="106">
        <v>0.83</v>
      </c>
      <c r="F19" s="106"/>
      <c r="G19" s="106"/>
      <c r="H19" s="106"/>
      <c r="I19" s="106"/>
    </row>
    <row r="20" spans="1:9" s="6" customFormat="1" ht="15.75">
      <c r="A20" s="3" t="s">
        <v>8</v>
      </c>
      <c r="B20" s="2">
        <v>2</v>
      </c>
      <c r="C20" s="12" t="s">
        <v>181</v>
      </c>
      <c r="D20" s="106"/>
      <c r="E20" s="106">
        <v>0.92</v>
      </c>
      <c r="F20" s="106">
        <v>0.893</v>
      </c>
      <c r="G20" s="106">
        <v>0.985</v>
      </c>
      <c r="H20" s="106">
        <v>1</v>
      </c>
      <c r="I20" s="106"/>
    </row>
    <row r="21" spans="1:9" s="6" customFormat="1" ht="15.75">
      <c r="A21" s="3" t="s">
        <v>8</v>
      </c>
      <c r="B21" s="2">
        <v>2</v>
      </c>
      <c r="C21" s="12" t="s">
        <v>182</v>
      </c>
      <c r="D21" s="106"/>
      <c r="E21" s="106">
        <v>0.87</v>
      </c>
      <c r="F21" s="106">
        <v>0.93</v>
      </c>
      <c r="G21" s="106">
        <v>0.95</v>
      </c>
      <c r="H21" s="106">
        <v>0.95</v>
      </c>
      <c r="I21" s="106"/>
    </row>
    <row r="22" spans="1:9" s="6" customFormat="1" ht="15.75">
      <c r="A22" s="3" t="s">
        <v>11</v>
      </c>
      <c r="B22" s="2">
        <v>2</v>
      </c>
      <c r="C22" s="12" t="s">
        <v>181</v>
      </c>
      <c r="D22" s="106"/>
      <c r="E22" s="106">
        <v>0.9</v>
      </c>
      <c r="F22" s="106">
        <v>0.96</v>
      </c>
      <c r="G22" s="106"/>
      <c r="H22" s="106"/>
      <c r="I22" s="106"/>
    </row>
    <row r="23" spans="1:9" s="6" customFormat="1" ht="15.75">
      <c r="A23" s="3" t="s">
        <v>11</v>
      </c>
      <c r="B23" s="2">
        <v>2</v>
      </c>
      <c r="C23" s="12" t="s">
        <v>182</v>
      </c>
      <c r="D23" s="106"/>
      <c r="E23" s="106">
        <v>0.64</v>
      </c>
      <c r="F23" s="106">
        <v>1</v>
      </c>
      <c r="G23" s="106"/>
      <c r="H23" s="106"/>
      <c r="I23" s="106"/>
    </row>
    <row r="24" spans="1:9" s="6" customFormat="1" ht="31.5">
      <c r="A24" s="51" t="s">
        <v>5</v>
      </c>
      <c r="B24" s="2">
        <v>2</v>
      </c>
      <c r="C24" s="12" t="s">
        <v>181</v>
      </c>
      <c r="D24" s="106"/>
      <c r="E24" s="106">
        <v>0.85</v>
      </c>
      <c r="F24" s="106">
        <v>0.88</v>
      </c>
      <c r="G24" s="106">
        <v>0.66</v>
      </c>
      <c r="H24" s="106"/>
      <c r="I24" s="106"/>
    </row>
    <row r="25" spans="1:9" s="6" customFormat="1" ht="31.5">
      <c r="A25" s="51" t="s">
        <v>5</v>
      </c>
      <c r="B25" s="2">
        <v>2</v>
      </c>
      <c r="C25" s="12" t="s">
        <v>182</v>
      </c>
      <c r="D25" s="106">
        <v>0.01</v>
      </c>
      <c r="E25" s="106">
        <v>0.75</v>
      </c>
      <c r="F25" s="106">
        <v>0.83</v>
      </c>
      <c r="G25" s="106"/>
      <c r="H25" s="106">
        <v>0.82</v>
      </c>
      <c r="I25" s="106">
        <v>0.6</v>
      </c>
    </row>
    <row r="26" spans="1:9" s="6" customFormat="1" ht="15.75">
      <c r="A26" s="24" t="s">
        <v>24</v>
      </c>
      <c r="B26" s="2">
        <v>2</v>
      </c>
      <c r="C26" s="116" t="s">
        <v>181</v>
      </c>
      <c r="D26" s="106"/>
      <c r="E26" s="106">
        <v>0.89</v>
      </c>
      <c r="F26" s="106">
        <v>0.95</v>
      </c>
      <c r="G26" s="106">
        <v>0.86</v>
      </c>
      <c r="H26" s="106"/>
      <c r="I26" s="106"/>
    </row>
    <row r="27" spans="1:9" s="6" customFormat="1" ht="15.75">
      <c r="A27" s="24" t="s">
        <v>24</v>
      </c>
      <c r="B27" s="2">
        <v>2</v>
      </c>
      <c r="C27" s="12" t="s">
        <v>182</v>
      </c>
      <c r="D27" s="106"/>
      <c r="E27" s="106">
        <v>0.82</v>
      </c>
      <c r="F27" s="106">
        <v>0.91</v>
      </c>
      <c r="G27" s="106">
        <v>0.83</v>
      </c>
      <c r="H27" s="106">
        <v>0.75</v>
      </c>
      <c r="I27" s="106"/>
    </row>
    <row r="28" spans="1:9" s="6" customFormat="1" ht="15.75">
      <c r="A28" s="24"/>
      <c r="B28" s="10"/>
      <c r="C28" s="12"/>
      <c r="D28" s="106"/>
      <c r="E28" s="106"/>
      <c r="F28" s="106"/>
      <c r="G28" s="106"/>
      <c r="H28" s="106"/>
      <c r="I28" s="106"/>
    </row>
    <row r="29" spans="1:9" s="6" customFormat="1" ht="15.75">
      <c r="A29" s="114" t="s">
        <v>180</v>
      </c>
      <c r="B29" s="2"/>
      <c r="C29" s="3"/>
      <c r="D29" s="106"/>
      <c r="E29" s="106"/>
      <c r="F29" s="106"/>
      <c r="G29" s="106"/>
      <c r="H29" s="106"/>
      <c r="I29" s="106"/>
    </row>
    <row r="30" spans="1:9" s="6" customFormat="1" ht="15.75">
      <c r="A30" s="52" t="s">
        <v>6</v>
      </c>
      <c r="B30" s="2" t="s">
        <v>3</v>
      </c>
      <c r="C30" s="3" t="s">
        <v>181</v>
      </c>
      <c r="D30" s="106"/>
      <c r="E30" s="106"/>
      <c r="F30" s="106"/>
      <c r="G30" s="106">
        <v>0.5</v>
      </c>
      <c r="H30" s="106">
        <v>0.71</v>
      </c>
      <c r="I30" s="106">
        <v>1</v>
      </c>
    </row>
    <row r="31" spans="1:9" s="6" customFormat="1" ht="15.75">
      <c r="A31" s="3" t="s">
        <v>8</v>
      </c>
      <c r="B31" s="2" t="s">
        <v>3</v>
      </c>
      <c r="C31" s="3" t="s">
        <v>181</v>
      </c>
      <c r="D31" s="106"/>
      <c r="E31" s="106"/>
      <c r="F31" s="106"/>
      <c r="G31" s="106"/>
      <c r="H31" s="106">
        <v>1</v>
      </c>
      <c r="I31" s="106">
        <v>1</v>
      </c>
    </row>
    <row r="32" spans="1:9" s="6" customFormat="1" ht="15.75">
      <c r="A32" s="3"/>
      <c r="B32" s="2"/>
      <c r="C32" s="3"/>
      <c r="D32" s="106"/>
      <c r="E32" s="106"/>
      <c r="F32" s="106"/>
      <c r="G32" s="106"/>
      <c r="H32" s="106"/>
      <c r="I32" s="106"/>
    </row>
    <row r="33" spans="1:9" s="6" customFormat="1" ht="15.75">
      <c r="A33" s="3"/>
      <c r="B33" s="2"/>
      <c r="C33" s="3"/>
      <c r="D33" s="106"/>
      <c r="E33" s="106"/>
      <c r="F33" s="106"/>
      <c r="G33" s="106"/>
      <c r="H33" s="106"/>
      <c r="I33" s="106"/>
    </row>
    <row r="34" spans="1:9" s="6" customFormat="1" ht="15.75">
      <c r="A34" s="115" t="s">
        <v>35</v>
      </c>
      <c r="B34" s="2"/>
      <c r="C34" s="3"/>
      <c r="D34" s="106"/>
      <c r="E34" s="106"/>
      <c r="F34" s="106"/>
      <c r="G34" s="106"/>
      <c r="H34" s="106"/>
      <c r="I34" s="106"/>
    </row>
    <row r="35" spans="1:9" s="6" customFormat="1" ht="15.75">
      <c r="A35" s="52" t="s">
        <v>6</v>
      </c>
      <c r="B35" s="2">
        <v>3</v>
      </c>
      <c r="C35" s="12" t="s">
        <v>181</v>
      </c>
      <c r="D35" s="106"/>
      <c r="E35" s="106"/>
      <c r="F35" s="106">
        <v>0.615</v>
      </c>
      <c r="G35" s="106">
        <v>0.34</v>
      </c>
      <c r="H35" s="106">
        <v>0.665</v>
      </c>
      <c r="I35" s="106">
        <v>0.845</v>
      </c>
    </row>
    <row r="36" spans="1:9" s="6" customFormat="1" ht="15.75">
      <c r="A36" s="52" t="s">
        <v>6</v>
      </c>
      <c r="B36" s="2">
        <v>3</v>
      </c>
      <c r="C36" s="12" t="s">
        <v>182</v>
      </c>
      <c r="D36" s="106"/>
      <c r="E36" s="106"/>
      <c r="F36" s="106"/>
      <c r="G36" s="106"/>
      <c r="H36" s="106">
        <v>0.21</v>
      </c>
      <c r="I36" s="106">
        <v>0.2</v>
      </c>
    </row>
    <row r="37" spans="1:9" ht="15.75">
      <c r="A37" s="3" t="s">
        <v>8</v>
      </c>
      <c r="B37" s="2">
        <v>3</v>
      </c>
      <c r="C37" s="12" t="s">
        <v>181</v>
      </c>
      <c r="D37" s="106"/>
      <c r="E37" s="106"/>
      <c r="F37" s="106">
        <v>0.82</v>
      </c>
      <c r="G37" s="106">
        <v>0.67</v>
      </c>
      <c r="H37" s="106">
        <v>1</v>
      </c>
      <c r="I37" s="106">
        <v>0.9</v>
      </c>
    </row>
    <row r="38" spans="1:9" ht="15.75">
      <c r="A38" s="107" t="s">
        <v>8</v>
      </c>
      <c r="B38" s="2">
        <v>3</v>
      </c>
      <c r="C38" s="12" t="s">
        <v>182</v>
      </c>
      <c r="D38" s="106"/>
      <c r="E38" s="106">
        <v>0.43</v>
      </c>
      <c r="F38" s="106">
        <v>0.15</v>
      </c>
      <c r="G38" s="106">
        <v>0.73</v>
      </c>
      <c r="H38" s="106">
        <v>0.09</v>
      </c>
      <c r="I38" s="106">
        <v>0.42</v>
      </c>
    </row>
    <row r="39" spans="1:9" ht="15.75">
      <c r="A39" s="3" t="s">
        <v>11</v>
      </c>
      <c r="B39" s="2">
        <v>3</v>
      </c>
      <c r="C39" s="3" t="s">
        <v>181</v>
      </c>
      <c r="D39" s="106"/>
      <c r="E39" s="106"/>
      <c r="F39" s="106">
        <v>0.44</v>
      </c>
      <c r="G39" s="106">
        <v>0.48</v>
      </c>
      <c r="H39" s="106">
        <v>0.6</v>
      </c>
      <c r="I39" s="106">
        <v>0.67</v>
      </c>
    </row>
    <row r="40" spans="1:9" ht="15.75">
      <c r="A40" s="3" t="s">
        <v>11</v>
      </c>
      <c r="B40" s="2">
        <v>3</v>
      </c>
      <c r="C40" s="3" t="s">
        <v>182</v>
      </c>
      <c r="D40" s="106"/>
      <c r="E40" s="106"/>
      <c r="F40" s="106">
        <v>0.18</v>
      </c>
      <c r="G40" s="106">
        <v>0.26</v>
      </c>
      <c r="H40" s="106">
        <v>0.11</v>
      </c>
      <c r="I40" s="106">
        <v>0.29</v>
      </c>
    </row>
    <row r="41" spans="1:9" ht="31.5">
      <c r="A41" s="51" t="s">
        <v>5</v>
      </c>
      <c r="B41" s="2">
        <v>3</v>
      </c>
      <c r="C41" s="3" t="s">
        <v>181</v>
      </c>
      <c r="D41" s="106"/>
      <c r="E41" s="106"/>
      <c r="F41" s="106">
        <v>0.77</v>
      </c>
      <c r="G41" s="106">
        <v>0.25</v>
      </c>
      <c r="H41" s="106">
        <v>0.29</v>
      </c>
      <c r="I41" s="106">
        <v>0.71</v>
      </c>
    </row>
    <row r="42" spans="1:9" ht="31.5">
      <c r="A42" s="51" t="s">
        <v>5</v>
      </c>
      <c r="B42" s="2">
        <v>3</v>
      </c>
      <c r="C42" s="3" t="s">
        <v>182</v>
      </c>
      <c r="D42" s="106"/>
      <c r="E42" s="106">
        <v>0.33</v>
      </c>
      <c r="F42" s="106">
        <v>0.56</v>
      </c>
      <c r="G42" s="106"/>
      <c r="H42" s="106"/>
      <c r="I42" s="106">
        <v>0.2</v>
      </c>
    </row>
    <row r="43" spans="1:9" ht="15.75">
      <c r="A43" s="24" t="s">
        <v>24</v>
      </c>
      <c r="B43" s="2">
        <v>3</v>
      </c>
      <c r="C43" s="3" t="s">
        <v>181</v>
      </c>
      <c r="D43" s="106"/>
      <c r="E43" s="106">
        <v>0.08</v>
      </c>
      <c r="F43" s="106">
        <v>0.56</v>
      </c>
      <c r="G43" s="106">
        <v>0.8</v>
      </c>
      <c r="H43" s="106">
        <v>0.33</v>
      </c>
      <c r="I43" s="106">
        <v>0.36</v>
      </c>
    </row>
    <row r="44" spans="1:9" ht="15.75">
      <c r="A44" s="24" t="s">
        <v>24</v>
      </c>
      <c r="B44" s="2">
        <v>3</v>
      </c>
      <c r="C44" s="3" t="s">
        <v>182</v>
      </c>
      <c r="D44" s="106"/>
      <c r="E44" s="106">
        <v>0.41</v>
      </c>
      <c r="F44" s="106">
        <v>0.34</v>
      </c>
      <c r="G44" s="106">
        <v>0.3</v>
      </c>
      <c r="H44" s="106"/>
      <c r="I44" s="106"/>
    </row>
  </sheetData>
  <sheetProtection/>
  <mergeCells count="2">
    <mergeCell ref="C2:I2"/>
    <mergeCell ref="A1:I1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2012-01-27T13:25:07Z</dcterms:created>
  <dcterms:modified xsi:type="dcterms:W3CDTF">2012-05-11T08:55:00Z</dcterms:modified>
  <cp:category/>
  <cp:version/>
  <cp:contentType/>
  <cp:contentStatus/>
</cp:coreProperties>
</file>